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'Лист2'!$4:$15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<sst xmlns="http://schemas.openxmlformats.org/spreadsheetml/2006/main" count="367" uniqueCount="335">
  <si>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</si>
  <si>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</si>
  <si>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</si>
  <si>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</si>
  <si>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</si>
  <si>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</si>
  <si>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</si>
  <si>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</si>
  <si>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</si>
  <si>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</si>
  <si>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</si>
  <si>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</si>
  <si>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</si>
  <si>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</si>
  <si>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</si>
  <si>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</si>
  <si>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</si>
  <si>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</si>
  <si>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</si>
  <si>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</si>
  <si>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</si>
  <si>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</si>
  <si>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</si>
  <si>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</si>
  <si>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</si>
  <si>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</si>
  <si>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</si>
  <si>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</si>
  <si>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</si>
  <si>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</si>
  <si>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</si>
  <si>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</si>
  <si>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</si>
  <si>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</si>
  <si>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</si>
  <si>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</si>
  <si>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мероприятия, год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</si>
  <si>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</si>
  <si>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</si>
  <si>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</si>
  <si>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</si>
  <si>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</si>
  <si>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</si>
  <si>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</si>
  <si>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</si>
  <si>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</si>
  <si>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</si>
  <si>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</si>
  <si>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</si>
  <si>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(год / I—IV кв.)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</si>
  <si>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</si>
  <si>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</si>
  <si>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</si>
  <si>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</si>
  <si>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</si>
  <si>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</si>
  <si>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</si>
  <si>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</si>
  <si>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</si>
  <si>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</si>
  <si>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</si>
  <si>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</si>
  <si>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</si>
  <si>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</si>
  <si>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</si>
  <si>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</si>
  <si>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</si>
  <si>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</si>
  <si>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</si>
  <si>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</si>
  <si>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</si>
  <si>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</si>
  <si>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</si>
  <si>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конкурсов,</t>
  </si>
  <si>
    <t>заключенных</t>
  </si>
  <si>
    <t>договоров</t>
  </si>
  <si>
    <t>(закупочных</t>
  </si>
  <si>
    <t>процедур)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</si>
  <si>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</si>
  <si>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</si>
  <si>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</si>
  <si>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</si>
  <si>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</si>
  <si>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</si>
  <si>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Объем финансирования (отчетный</t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</si>
  <si>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</si>
  <si>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</si>
  <si>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</si>
  <si>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</si>
  <si>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</si>
  <si>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</si>
  <si>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</si>
  <si>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</si>
  <si>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</si>
  <si>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</si>
  <si>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</si>
  <si>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</si>
  <si>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</si>
  <si>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</si>
  <si>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</si>
  <si>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</si>
  <si>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</si>
  <si>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</si>
  <si>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</si>
  <si>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</si>
  <si>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</si>
  <si>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</si>
  <si>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</si>
  <si>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А.1.1.1.1.</t>
  </si>
  <si>
    <t>А.2.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</si>
  <si>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</si>
  <si>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</si>
  <si>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</si>
  <si>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</si>
  <si>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</si>
  <si>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</si>
  <si>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</si>
  <si>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</si>
  <si>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</si>
  <si>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</si>
  <si>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</si>
  <si>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</si>
  <si>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</si>
  <si>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</si>
  <si>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</si>
  <si>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год/квартал), млн руб. без НДС</t>
  </si>
  <si>
    <t>Директор МУП "АЭС"</t>
  </si>
  <si>
    <t>А.А.Кочетков</t>
  </si>
  <si>
    <t>Муниципального унитарного  предприятия города Абакана "Абаканские электрические  сети"</t>
  </si>
  <si>
    <t>Начальник ПТО</t>
  </si>
  <si>
    <t>Главный бухгалтер</t>
  </si>
  <si>
    <t>О.В. Гапон</t>
  </si>
  <si>
    <t>А.А. Ханин</t>
  </si>
  <si>
    <t>1.1.1</t>
  </si>
  <si>
    <t>Реконструкция КЛ-10 кВ (прокладка новых КЛ-10 кВ в замен существующих) всего, в том числе:</t>
  </si>
  <si>
    <t>Реконструкция ВЛ-10 кВ всего, в том числе:</t>
  </si>
  <si>
    <t>Реконструкция ВЛ-0.4 кВ и строительство новых ВЛ-0.4 кВ (СИП) всего, в том числе:</t>
  </si>
  <si>
    <t>Реконструкция КЛ-0.4 кВ всего, в том числе:</t>
  </si>
  <si>
    <t>Прочие инвестиционные проекты, всего в том числе:</t>
  </si>
  <si>
    <t>(по факту выполнения работ)</t>
  </si>
  <si>
    <t>Государственный комитет по энергетики и тарифному регулированию РХ</t>
  </si>
  <si>
    <t xml:space="preserve">Приобретение автоматизированных программ </t>
  </si>
  <si>
    <t>Всего по МУП "АЭС"</t>
  </si>
  <si>
    <t>Технологическое присоединение, всего, в том числе:</t>
  </si>
  <si>
    <t>ВЛ-0.4 кВ-  усиление сущ. эл. сети связанное с новым подключением потребителей</t>
  </si>
  <si>
    <t>Реконструкция трансформаторных и иных подстанций, всего, в том числе:</t>
  </si>
  <si>
    <t>1.2</t>
  </si>
  <si>
    <t>Замена МТП и старых КТП на новые КТП -111(400), КТП-35(400), КТП-101(630)</t>
  </si>
  <si>
    <t xml:space="preserve">ПР-0.4кВ, ВРУ-0.4кВ НП, ЗРУ-0.4кВ </t>
  </si>
  <si>
    <t>Реконструкция и модернизация энергетических установок. Замена трансформаторов на ТМГ-12 (ТП-6 (630), ТП-55(400), ТП-72(2*400). ТП-13(400), ТП-97(630))</t>
  </si>
  <si>
    <t>1.2.1</t>
  </si>
  <si>
    <t>1.2.2</t>
  </si>
  <si>
    <t>1.2.3</t>
  </si>
  <si>
    <t>ТП-378 - ТП-349</t>
  </si>
  <si>
    <t>ТП-378- ТП-297</t>
  </si>
  <si>
    <t>ТП-117 - ТП-125</t>
  </si>
  <si>
    <t>ТП-125 - ТП-203</t>
  </si>
  <si>
    <t>ТП-125- ТП-24</t>
  </si>
  <si>
    <t>ТП-24 - ТП-134</t>
  </si>
  <si>
    <t>ТП-24 - ТП-382</t>
  </si>
  <si>
    <t>ТП-192 - ТП-136</t>
  </si>
  <si>
    <t>ТП-387-ТП-411</t>
  </si>
  <si>
    <t>ТП-387-ТП-336</t>
  </si>
  <si>
    <t>ТП-411-ТП-445</t>
  </si>
  <si>
    <t xml:space="preserve">ТП-393-ТП-390 </t>
  </si>
  <si>
    <t>ТП-393-ТП-331</t>
  </si>
  <si>
    <t>ТП-331-ТП-310</t>
  </si>
  <si>
    <t>ТП-331-ТП-390</t>
  </si>
  <si>
    <t>ТП-390-ТП-418</t>
  </si>
  <si>
    <t>ТП-93-ТП-221</t>
  </si>
  <si>
    <t>ТП-756 - ТП- ж.д. Д.Народов 52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</si>
  <si>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</si>
  <si>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</si>
  <si>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</si>
  <si>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</si>
  <si>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</si>
  <si>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</si>
  <si>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</si>
  <si>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</si>
  <si>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</si>
  <si>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</si>
  <si>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ТП-102-136А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</si>
  <si>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</si>
  <si>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</si>
  <si>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</si>
  <si>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</si>
  <si>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</si>
  <si>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</si>
  <si>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</si>
  <si>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</si>
  <si>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</si>
  <si>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</si>
  <si>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ф. 164 - 250</t>
  </si>
  <si>
    <t>ф.196 - 728</t>
  </si>
  <si>
    <t>ф.20/35 - 427 демонтаж</t>
  </si>
  <si>
    <t>1.4.</t>
  </si>
  <si>
    <t>1.4.1</t>
  </si>
  <si>
    <t>1.4.2</t>
  </si>
  <si>
    <t>1.4.3</t>
  </si>
  <si>
    <t>1.5.</t>
  </si>
  <si>
    <t>ТП-582 ф1</t>
  </si>
  <si>
    <t>ТП-639 ф4</t>
  </si>
  <si>
    <t>ТП-685 ф1</t>
  </si>
  <si>
    <t>ТП-791 ф1</t>
  </si>
  <si>
    <t>ТП-791 ф4</t>
  </si>
  <si>
    <t>ВЛ-0.4 кВ устранение низкого напряжения</t>
  </si>
  <si>
    <t>1.6.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</si>
  <si>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</si>
  <si>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</si>
  <si>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</si>
  <si>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</si>
  <si>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</si>
  <si>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</si>
  <si>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</si>
  <si>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</si>
  <si>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1.6.9.</t>
  </si>
  <si>
    <t>1.6.10.</t>
  </si>
  <si>
    <t>1.6.11.</t>
  </si>
  <si>
    <t>1.6.12.</t>
  </si>
  <si>
    <t>1.6.13.</t>
  </si>
  <si>
    <t>1.6.14.</t>
  </si>
  <si>
    <t>1.6.15.</t>
  </si>
  <si>
    <t>1.6.16.</t>
  </si>
  <si>
    <t>1.6.17.</t>
  </si>
  <si>
    <t>1.6.18.</t>
  </si>
  <si>
    <t>1.6.19.</t>
  </si>
  <si>
    <t>1.6.20.</t>
  </si>
  <si>
    <t>1.6.21.</t>
  </si>
  <si>
    <t>1.6.22.</t>
  </si>
  <si>
    <t>1.6.23.</t>
  </si>
  <si>
    <t>1.6.24.</t>
  </si>
  <si>
    <t>1.6.25.</t>
  </si>
  <si>
    <t>1.6.26.</t>
  </si>
  <si>
    <t>1.6.27.</t>
  </si>
  <si>
    <t>1.6.28.</t>
  </si>
  <si>
    <t>1.6.29.</t>
  </si>
  <si>
    <t>1.6.30.</t>
  </si>
  <si>
    <t>1.6.31.</t>
  </si>
  <si>
    <t>1.6.32.</t>
  </si>
  <si>
    <t>1.6.33.</t>
  </si>
  <si>
    <t>1.6.34.</t>
  </si>
  <si>
    <t>1.6.35.</t>
  </si>
  <si>
    <t>1.6.36.</t>
  </si>
  <si>
    <t>1.6.37.</t>
  </si>
  <si>
    <t>1.6.38.</t>
  </si>
  <si>
    <t>1.6.39.</t>
  </si>
  <si>
    <t>1.6.40.</t>
  </si>
  <si>
    <t>1.6.41.</t>
  </si>
  <si>
    <t>1.6.42.</t>
  </si>
  <si>
    <t>1.6.43.</t>
  </si>
  <si>
    <t>1.6.44.</t>
  </si>
  <si>
    <t>1.6.48.</t>
  </si>
  <si>
    <t xml:space="preserve">ТП-9а - ул. Щетинкина,4 </t>
  </si>
  <si>
    <t>1.5.1.</t>
  </si>
  <si>
    <t>1.5.2.</t>
  </si>
  <si>
    <t>1.5.3.</t>
  </si>
  <si>
    <t>1.5.4.</t>
  </si>
  <si>
    <t>1.5.5.</t>
  </si>
  <si>
    <t>1.5.6.</t>
  </si>
  <si>
    <t xml:space="preserve">ТП-234 - Д/С Золушка, Трудовая, 15 </t>
  </si>
  <si>
    <t xml:space="preserve">ТП-15а - ул. Щетинкина,5 </t>
  </si>
  <si>
    <t>ТП-15а - ул. Щетинкина,7</t>
  </si>
  <si>
    <t>ТП-15а - ул. Щетинкина,9</t>
  </si>
  <si>
    <t>ул. Щетинкина,7 - ул. Щетинкина,9</t>
  </si>
  <si>
    <t>ТП-15а - ул. Щетинкина,11</t>
  </si>
  <si>
    <t xml:space="preserve">ТП-16 - ул. Чкалова,21 </t>
  </si>
  <si>
    <t>ТП-16 - ул. Хакасская,52</t>
  </si>
  <si>
    <t>ТП-43 - ул. Западная,44</t>
  </si>
  <si>
    <t>ТП-43 - ул. Западная,44 котельная</t>
  </si>
  <si>
    <t xml:space="preserve">ТП-53 - ул. Буденого,74а </t>
  </si>
  <si>
    <t xml:space="preserve">ТП-53 - ул. Буденого,78 </t>
  </si>
  <si>
    <t xml:space="preserve">ТП-53 - ул. Буденого,76 </t>
  </si>
  <si>
    <t>Буденого,76 - Буденого,74</t>
  </si>
  <si>
    <t>ТП-53 - ул. Буденого,80</t>
  </si>
  <si>
    <t xml:space="preserve">ТП-53 - ул. Буденого,82 </t>
  </si>
  <si>
    <t xml:space="preserve">ТП-58 - ул. Чехова,126  </t>
  </si>
  <si>
    <t>ТП-54а - ул. Молодежная,6</t>
  </si>
  <si>
    <t>ТП-54а - ул. Молодежная,8</t>
  </si>
  <si>
    <t>ТП-54а - ул. Молодежная,10</t>
  </si>
  <si>
    <t>ТП-87 - ул. Крылова,37</t>
  </si>
  <si>
    <t>ТП-87 - ул. Крылова,39</t>
  </si>
  <si>
    <t>ТП-157 - ул. К.Маркса,4</t>
  </si>
  <si>
    <t>ТП-97 - ул. Щетинкина,76</t>
  </si>
  <si>
    <t>ТП-97 - ул. Щетинкина,78</t>
  </si>
  <si>
    <t>ул. Щетинкина,76 - ул. Щетинкина,78</t>
  </si>
  <si>
    <t>ТП-97 - ул. Щетинкина,80</t>
  </si>
  <si>
    <t>ТП-97 - ул. Крылова,41</t>
  </si>
  <si>
    <t>ул. Щетинкина,80 - ул. Крылова,41</t>
  </si>
  <si>
    <t xml:space="preserve">ТП-97 - ул. Щетинкина,80а </t>
  </si>
  <si>
    <t>ТП-105 - ул. Дзержинского,191</t>
  </si>
  <si>
    <t>ТП-105 - ул. Пушкина,186</t>
  </si>
  <si>
    <t>ТП-105 - ул. Пушкина,188</t>
  </si>
  <si>
    <t>ТП-105 - ул.Пушкина,184</t>
  </si>
  <si>
    <t xml:space="preserve">ТП-105 - ул.Дзержинского,185 </t>
  </si>
  <si>
    <t xml:space="preserve">ТП-105 - ул. Итыгина,2 </t>
  </si>
  <si>
    <t>ул. Пушкина,184 - ул. Дзержинского,185</t>
  </si>
  <si>
    <t>ул. Пушкина,186 - ул. Пушкина,188</t>
  </si>
  <si>
    <t>ТП-112 - ул. Щетинкина,17</t>
  </si>
  <si>
    <t>ТП-112 - ул. Щетинкина,19</t>
  </si>
  <si>
    <t>ТП-112 - ул. Щетинкина,23</t>
  </si>
  <si>
    <t>ул. Щетинкина,19 - ул. Щетинкина,23</t>
  </si>
  <si>
    <t>1.6.45.</t>
  </si>
  <si>
    <t>1.6.46.</t>
  </si>
  <si>
    <t>1.6.47.</t>
  </si>
  <si>
    <t xml:space="preserve">ТП-113 - ул.Л.Комсомола,11 </t>
  </si>
  <si>
    <t>ТП-113 - ул. Пушкина,120</t>
  </si>
  <si>
    <t>ТП-121а - ул. Молодежная,8</t>
  </si>
  <si>
    <t xml:space="preserve">ТП-121а - ул. Молодежная,6 </t>
  </si>
  <si>
    <t xml:space="preserve">Выхода с ТП-10/0.4кВ до опор </t>
  </si>
  <si>
    <t>1.7.</t>
  </si>
  <si>
    <t>Приобретение  автотранспорта  (Автокран 25 тн КС-45717К-1Р на шасси Камаз 65115-1шт, ГАЗель NEXT A22R32-70-1шт, Соболь бизнес 2752-777 -1шт)</t>
  </si>
  <si>
    <t>1.7.1.</t>
  </si>
  <si>
    <t>1.7.2.</t>
  </si>
  <si>
    <t>1.7.3.</t>
  </si>
  <si>
    <t>1.7.4.</t>
  </si>
  <si>
    <t>1.7.5.</t>
  </si>
  <si>
    <t>1.7.6.</t>
  </si>
  <si>
    <t>Телемеханика, развитие радио- и технологической связи</t>
  </si>
  <si>
    <t>Здание ул. Советская 25 (Литер В)</t>
  </si>
  <si>
    <t>Использование зем участков для реконструкции (аренда. сервитут)</t>
  </si>
  <si>
    <t>ПИР 2020-2021</t>
  </si>
  <si>
    <t>Приказ  Госкомтарифэнерго Хакасии от 31.10.2019 г. № 10-п "Об утверждении инвестиционной программы МУП "АЭС" на 2020-2024 годы.</t>
  </si>
  <si>
    <t>приказ от 12.03.2020 г. № 1-э</t>
  </si>
  <si>
    <t>П/с 20/35 - 427</t>
  </si>
  <si>
    <t>По фактически выполненным работам</t>
  </si>
  <si>
    <t xml:space="preserve">По результатам уточнения проектных работ, а также по факту выполненных работ.      </t>
  </si>
  <si>
    <t xml:space="preserve">По результатам уточнения проектных работ, после проведения закупочной процедуры, а также по факту выполненных работ.      </t>
  </si>
  <si>
    <t xml:space="preserve">После проведения закупочной процедуры, а также по факту выполненных работ.    </t>
  </si>
  <si>
    <t>четвертый</t>
  </si>
  <si>
    <t>12 месяцев</t>
  </si>
  <si>
    <t>января</t>
  </si>
  <si>
    <t>Работы выполнялись хозяйственным способом</t>
  </si>
  <si>
    <t>1.3.</t>
  </si>
  <si>
    <t>I</t>
  </si>
  <si>
    <t>Амортизационные отчисления утвержденные в НВВ на 2020 год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</si>
</sst>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"/>
    <numFmt numFmtId="184" formatCode="#,##0.000"/>
    <numFmt numFmtId="185" formatCode="[$-FC19]d\ mmmm\ yyyy\ &quot;г.&quot;"/>
    <numFmt numFmtId="186" formatCode="0.0000000"/>
    <numFmt numFmtId="187" formatCode="0.00000000"/>
    <numFmt numFmtId="188" formatCode="0.000000"/>
    <numFmt numFmtId="189" formatCode="0.00000"/>
    <numFmt numFmtId="190" formatCode="0.0000"/>
    <numFmt numFmtId="191" formatCode="#,##0.0000"/>
    <numFmt numFmtId="192" formatCode="0.000000000"/>
    <numFmt numFmtId="193" formatCode="0.0000000000"/>
    <numFmt numFmtId="194" formatCode="#,##0.00000"/>
    <numFmt numFmtId="195" formatCode="#,##0.000000"/>
    <numFmt numFmtId="196" formatCode="#,##0.0000000"/>
    <numFmt numFmtId="197" formatCode="_-* #,##0.000000000\ _р_._-;\-* #,##0.000000000\ _р_._-;_-* &quot;-&quot;??\ _р_._-;_-@_-"/>
    <numFmt numFmtId="198" formatCode="0.00000000000"/>
  </numFmts>
  <fonts count="5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187" fontId="2" fillId="33" borderId="0" xfId="0" applyNumberFormat="1" applyFont="1" applyFill="1" applyAlignment="1">
      <alignment horizontal="left" vertical="center"/>
    </xf>
    <xf numFmtId="195" fontId="2" fillId="33" borderId="0" xfId="0" applyNumberFormat="1" applyFont="1" applyFill="1" applyAlignment="1">
      <alignment horizontal="left" vertical="center"/>
    </xf>
    <xf numFmtId="182" fontId="2" fillId="33" borderId="0" xfId="0" applyNumberFormat="1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182" fontId="13" fillId="33" borderId="15" xfId="0" applyNumberFormat="1" applyFont="1" applyFill="1" applyBorder="1" applyAlignment="1">
      <alignment horizontal="right" vertical="center"/>
    </xf>
    <xf numFmtId="2" fontId="13" fillId="33" borderId="15" xfId="0" applyNumberFormat="1" applyFont="1" applyFill="1" applyBorder="1" applyAlignment="1">
      <alignment horizontal="righ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182" fontId="3" fillId="33" borderId="16" xfId="0" applyNumberFormat="1" applyFont="1" applyFill="1" applyBorder="1" applyAlignment="1">
      <alignment horizontal="left" vertical="center" wrapText="1"/>
    </xf>
    <xf numFmtId="182" fontId="3" fillId="33" borderId="11" xfId="0" applyNumberFormat="1" applyFont="1" applyFill="1" applyBorder="1" applyAlignment="1">
      <alignment horizontal="left" vertical="center" wrapText="1"/>
    </xf>
    <xf numFmtId="182" fontId="3" fillId="33" borderId="17" xfId="0" applyNumberFormat="1" applyFont="1" applyFill="1" applyBorder="1" applyAlignment="1">
      <alignment horizontal="left" vertical="center" wrapText="1"/>
    </xf>
    <xf numFmtId="182" fontId="3" fillId="33" borderId="18" xfId="0" applyNumberFormat="1" applyFont="1" applyFill="1" applyBorder="1" applyAlignment="1">
      <alignment horizontal="left" vertical="center" wrapText="1"/>
    </xf>
    <xf numFmtId="182" fontId="3" fillId="33" borderId="10" xfId="0" applyNumberFormat="1" applyFont="1" applyFill="1" applyBorder="1" applyAlignment="1">
      <alignment horizontal="left" vertical="center" wrapText="1"/>
    </xf>
    <xf numFmtId="182" fontId="3" fillId="33" borderId="19" xfId="0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2" fontId="3" fillId="33" borderId="20" xfId="0" applyNumberFormat="1" applyFont="1" applyFill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2" fontId="3" fillId="0" borderId="20" xfId="0" applyNumberFormat="1" applyFont="1" applyBorder="1" applyAlignment="1">
      <alignment horizontal="right" vertical="center" wrapText="1"/>
    </xf>
    <xf numFmtId="0" fontId="3" fillId="33" borderId="20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right" vertical="center"/>
    </xf>
    <xf numFmtId="2" fontId="3" fillId="33" borderId="12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2" fontId="3" fillId="33" borderId="14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2" fontId="3" fillId="33" borderId="20" xfId="0" applyNumberFormat="1" applyFont="1" applyFill="1" applyBorder="1" applyAlignment="1">
      <alignment horizontal="right" vertical="center" wrapText="1"/>
    </xf>
    <xf numFmtId="2" fontId="13" fillId="33" borderId="20" xfId="0" applyNumberFormat="1" applyFont="1" applyFill="1" applyBorder="1" applyAlignment="1">
      <alignment horizontal="right" vertical="center"/>
    </xf>
    <xf numFmtId="182" fontId="3" fillId="33" borderId="20" xfId="0" applyNumberFormat="1" applyFont="1" applyFill="1" applyBorder="1" applyAlignment="1">
      <alignment horizontal="right" vertical="center"/>
    </xf>
    <xf numFmtId="2" fontId="3" fillId="33" borderId="15" xfId="0" applyNumberFormat="1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182" fontId="3" fillId="33" borderId="12" xfId="0" applyNumberFormat="1" applyFont="1" applyFill="1" applyBorder="1" applyAlignment="1">
      <alignment horizontal="right" vertical="center"/>
    </xf>
    <xf numFmtId="182" fontId="3" fillId="33" borderId="13" xfId="0" applyNumberFormat="1" applyFont="1" applyFill="1" applyBorder="1" applyAlignment="1">
      <alignment horizontal="right" vertical="center"/>
    </xf>
    <xf numFmtId="182" fontId="3" fillId="33" borderId="14" xfId="0" applyNumberFormat="1" applyFont="1" applyFill="1" applyBorder="1" applyAlignment="1">
      <alignment horizontal="right" vertical="center"/>
    </xf>
    <xf numFmtId="49" fontId="3" fillId="33" borderId="15" xfId="0" applyNumberFormat="1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3" fillId="33" borderId="13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left" vertical="center"/>
    </xf>
    <xf numFmtId="49" fontId="3" fillId="33" borderId="14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82" fontId="3" fillId="33" borderId="12" xfId="0" applyNumberFormat="1" applyFont="1" applyFill="1" applyBorder="1" applyAlignment="1">
      <alignment horizontal="left" vertical="center" wrapText="1"/>
    </xf>
    <xf numFmtId="49" fontId="13" fillId="33" borderId="15" xfId="0" applyNumberFormat="1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vertical="center"/>
    </xf>
    <xf numFmtId="2" fontId="13" fillId="33" borderId="12" xfId="0" applyNumberFormat="1" applyFont="1" applyFill="1" applyBorder="1" applyAlignment="1">
      <alignment horizontal="right" vertical="center"/>
    </xf>
    <xf numFmtId="2" fontId="13" fillId="33" borderId="13" xfId="0" applyNumberFormat="1" applyFont="1" applyFill="1" applyBorder="1" applyAlignment="1">
      <alignment horizontal="right" vertical="center"/>
    </xf>
    <xf numFmtId="2" fontId="13" fillId="33" borderId="14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49" fontId="3" fillId="33" borderId="20" xfId="0" applyNumberFormat="1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12" xfId="0" applyNumberFormat="1" applyFont="1" applyFill="1" applyBorder="1" applyAlignment="1">
      <alignment horizontal="left" vertical="center"/>
    </xf>
    <xf numFmtId="0" fontId="13" fillId="33" borderId="13" xfId="0" applyNumberFormat="1" applyFont="1" applyFill="1" applyBorder="1" applyAlignment="1">
      <alignment horizontal="left" vertical="center"/>
    </xf>
    <xf numFmtId="0" fontId="13" fillId="33" borderId="14" xfId="0" applyNumberFormat="1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/>
    </xf>
    <xf numFmtId="182" fontId="3" fillId="0" borderId="20" xfId="0" applyNumberFormat="1" applyFont="1" applyBorder="1" applyAlignment="1">
      <alignment horizontal="right" vertical="center"/>
    </xf>
    <xf numFmtId="190" fontId="3" fillId="33" borderId="20" xfId="0" applyNumberFormat="1" applyFont="1" applyFill="1" applyBorder="1" applyAlignment="1">
      <alignment horizontal="right" vertical="center"/>
    </xf>
    <xf numFmtId="0" fontId="13" fillId="33" borderId="20" xfId="0" applyNumberFormat="1" applyFont="1" applyFill="1" applyBorder="1" applyAlignment="1">
      <alignment horizontal="left" vertical="center"/>
    </xf>
    <xf numFmtId="14" fontId="3" fillId="33" borderId="20" xfId="0" applyNumberFormat="1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right" vertical="center"/>
    </xf>
    <xf numFmtId="182" fontId="3" fillId="33" borderId="12" xfId="0" applyNumberFormat="1" applyFont="1" applyFill="1" applyBorder="1" applyAlignment="1">
      <alignment horizontal="center" vertical="center"/>
    </xf>
    <xf numFmtId="182" fontId="3" fillId="33" borderId="13" xfId="0" applyNumberFormat="1" applyFont="1" applyFill="1" applyBorder="1" applyAlignment="1">
      <alignment horizontal="center" vertical="center"/>
    </xf>
    <xf numFmtId="182" fontId="3" fillId="33" borderId="14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right" vertical="center"/>
    </xf>
    <xf numFmtId="2" fontId="13" fillId="33" borderId="23" xfId="0" applyNumberFormat="1" applyFont="1" applyFill="1" applyBorder="1" applyAlignment="1">
      <alignment horizontal="right" vertical="center"/>
    </xf>
    <xf numFmtId="182" fontId="13" fillId="33" borderId="23" xfId="0" applyNumberFormat="1" applyFont="1" applyFill="1" applyBorder="1" applyAlignment="1">
      <alignment horizontal="right" vertical="center"/>
    </xf>
    <xf numFmtId="2" fontId="3" fillId="33" borderId="23" xfId="0" applyNumberFormat="1" applyFont="1" applyFill="1" applyBorder="1" applyAlignment="1">
      <alignment horizontal="righ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16" fontId="13" fillId="33" borderId="1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182" fontId="3" fillId="33" borderId="21" xfId="0" applyNumberFormat="1" applyFont="1" applyFill="1" applyBorder="1" applyAlignment="1">
      <alignment horizontal="left" vertical="center" wrapText="1"/>
    </xf>
    <xf numFmtId="182" fontId="3" fillId="33" borderId="0" xfId="0" applyNumberFormat="1" applyFont="1" applyFill="1" applyBorder="1" applyAlignment="1">
      <alignment horizontal="left" vertical="center" wrapText="1"/>
    </xf>
    <xf numFmtId="182" fontId="3" fillId="33" borderId="22" xfId="0" applyNumberFormat="1" applyFont="1" applyFill="1" applyBorder="1" applyAlignment="1">
      <alignment horizontal="left" vertical="center" wrapText="1"/>
    </xf>
    <xf numFmtId="182" fontId="15" fillId="33" borderId="16" xfId="0" applyNumberFormat="1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horizontal="left" vertical="center" wrapText="1"/>
    </xf>
    <xf numFmtId="182" fontId="15" fillId="33" borderId="16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left" vertical="center" wrapText="1"/>
    </xf>
    <xf numFmtId="0" fontId="15" fillId="33" borderId="21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5" fillId="33" borderId="22" xfId="0" applyFont="1" applyFill="1" applyBorder="1" applyAlignment="1">
      <alignment horizontal="left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 wrapText="1"/>
    </xf>
    <xf numFmtId="182" fontId="14" fillId="0" borderId="23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182" fontId="10" fillId="0" borderId="15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PageLayoutView="0" workbookViewId="0" topLeftCell="A13">
      <selection activeCell="P31" sqref="P31"/>
    </sheetView>
  </sheetViews>
  <sheetFormatPr defaultColWidth="1.37890625" defaultRowHeight="12.75"/>
  <cols>
    <col min="1" max="19" width="1.37890625" style="1" customWidth="1"/>
    <col min="20" max="20" width="2.00390625" style="1" customWidth="1"/>
    <col min="21" max="22" width="1.37890625" style="1" customWidth="1"/>
    <col min="23" max="23" width="1.00390625" style="1" customWidth="1"/>
    <col min="24" max="44" width="1.37890625" style="1" customWidth="1"/>
    <col min="45" max="45" width="3.125" style="1" customWidth="1"/>
    <col min="46" max="98" width="1.37890625" style="1" customWidth="1"/>
    <col min="99" max="99" width="3.375" style="1" customWidth="1"/>
    <col min="100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25" t="s">
        <v>126</v>
      </c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</row>
    <row r="7" spans="65:99" s="5" customFormat="1" ht="10.5">
      <c r="BM7" s="26" t="s">
        <v>4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</row>
    <row r="8" spans="65:99" ht="15.75"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6"/>
      <c r="CA8" s="6"/>
      <c r="CB8" s="25" t="s">
        <v>127</v>
      </c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</row>
    <row r="9" spans="65:99" s="5" customFormat="1" ht="10.5">
      <c r="BM9" s="27" t="s">
        <v>5</v>
      </c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7"/>
      <c r="CA9" s="7"/>
      <c r="CB9" s="27" t="s">
        <v>6</v>
      </c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</row>
    <row r="10" ht="15.75">
      <c r="CU10" s="2" t="s">
        <v>7</v>
      </c>
    </row>
    <row r="14" spans="14:99" s="8" customFormat="1" ht="18.75">
      <c r="N14" s="9" t="s">
        <v>10</v>
      </c>
      <c r="W14" s="28" t="s">
        <v>128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</row>
    <row r="15" spans="23:86" s="5" customFormat="1" ht="10.5">
      <c r="W15" s="26" t="s">
        <v>11</v>
      </c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</row>
    <row r="16" spans="1:99" s="8" customFormat="1" ht="18.75">
      <c r="A16" s="31" t="s">
        <v>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</row>
    <row r="17" spans="1:99" s="8" customFormat="1" ht="18.75">
      <c r="A17" s="31" t="s">
        <v>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</row>
    <row r="20" spans="1:25" ht="15.75">
      <c r="A20" s="1" t="s">
        <v>12</v>
      </c>
      <c r="C20" s="25" t="s">
        <v>328</v>
      </c>
      <c r="D20" s="25"/>
      <c r="E20" s="25"/>
      <c r="F20" s="25"/>
      <c r="G20" s="25"/>
      <c r="H20" s="25"/>
      <c r="I20" s="25"/>
      <c r="J20" s="25"/>
      <c r="K20" s="25"/>
      <c r="L20" s="25"/>
      <c r="M20" s="1" t="s">
        <v>13</v>
      </c>
      <c r="S20" s="10"/>
      <c r="T20" s="24">
        <v>2020</v>
      </c>
      <c r="U20" s="24"/>
      <c r="V20" s="24"/>
      <c r="W20" s="24"/>
      <c r="X20" s="24"/>
      <c r="Y20" s="1" t="s">
        <v>14</v>
      </c>
    </row>
    <row r="21" s="5" customFormat="1" ht="10.5"/>
    <row r="22" spans="1:12" ht="15.75">
      <c r="A22" s="1" t="s">
        <v>12</v>
      </c>
      <c r="C22" s="25" t="s">
        <v>329</v>
      </c>
      <c r="D22" s="25"/>
      <c r="E22" s="25"/>
      <c r="F22" s="25"/>
      <c r="G22" s="25"/>
      <c r="H22" s="25"/>
      <c r="I22" s="25"/>
      <c r="J22" s="25"/>
      <c r="K22" s="25"/>
      <c r="L22" s="25"/>
    </row>
    <row r="23" s="5" customFormat="1" ht="10.5"/>
    <row r="24" spans="2:99" ht="15.75">
      <c r="B24" s="2" t="s">
        <v>15</v>
      </c>
      <c r="C24" s="25">
        <v>26</v>
      </c>
      <c r="D24" s="25"/>
      <c r="E24" s="25"/>
      <c r="F24" s="1" t="s">
        <v>16</v>
      </c>
      <c r="H24" s="25" t="s">
        <v>330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X24" s="10"/>
      <c r="Y24" s="24">
        <v>2021</v>
      </c>
      <c r="Z24" s="24"/>
      <c r="AA24" s="24"/>
      <c r="AB24" s="24"/>
      <c r="AC24" s="24"/>
      <c r="AD24" s="1" t="s">
        <v>14</v>
      </c>
      <c r="AW24" s="2" t="s">
        <v>18</v>
      </c>
      <c r="AX24" s="25" t="s">
        <v>140</v>
      </c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</row>
    <row r="25" spans="8:99" s="5" customFormat="1" ht="10.5">
      <c r="H25" s="27" t="s">
        <v>17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AX25" s="26" t="s">
        <v>19</v>
      </c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</row>
    <row r="28" spans="1:99" s="11" customFormat="1" ht="15.75" customHeight="1">
      <c r="A28" s="11" t="s">
        <v>20</v>
      </c>
      <c r="AT28" s="30" t="s">
        <v>322</v>
      </c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</row>
    <row r="29" s="5" customFormat="1" ht="10.5"/>
    <row r="30" ht="15.75">
      <c r="A30" s="1" t="s">
        <v>21</v>
      </c>
    </row>
    <row r="31" spans="1:99" ht="15.75">
      <c r="A31" s="1" t="s">
        <v>22</v>
      </c>
      <c r="V31" s="29" t="s">
        <v>321</v>
      </c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</row>
  </sheetData>
  <sheetProtection/>
  <mergeCells count="21">
    <mergeCell ref="AX25:CU25"/>
    <mergeCell ref="C24:E24"/>
    <mergeCell ref="H24:V24"/>
    <mergeCell ref="AX24:CU24"/>
    <mergeCell ref="T20:X20"/>
    <mergeCell ref="C22:L22"/>
    <mergeCell ref="C20:L20"/>
    <mergeCell ref="BM9:BY9"/>
    <mergeCell ref="W14:CU14"/>
    <mergeCell ref="W15:CH15"/>
    <mergeCell ref="V31:CU31"/>
    <mergeCell ref="AT28:CU28"/>
    <mergeCell ref="A16:CU16"/>
    <mergeCell ref="A17:CU17"/>
    <mergeCell ref="H25:V25"/>
    <mergeCell ref="Y24:AC24"/>
    <mergeCell ref="BM6:CU6"/>
    <mergeCell ref="BM7:CU7"/>
    <mergeCell ref="CB8:CU8"/>
    <mergeCell ref="CB9:CU9"/>
    <mergeCell ref="BM8:BY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7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C3:CX117"/>
  <sheetViews>
    <sheetView tabSelected="1" zoomScalePageLayoutView="0" workbookViewId="0" topLeftCell="A1">
      <selection activeCell="BH17" sqref="BH17:BM17"/>
    </sheetView>
  </sheetViews>
  <sheetFormatPr defaultColWidth="1.37890625" defaultRowHeight="12.75"/>
  <cols>
    <col min="1" max="3" width="1.37890625" style="1" customWidth="1"/>
    <col min="4" max="4" width="2.00390625" style="1" customWidth="1"/>
    <col min="5" max="5" width="5.00390625" style="1" customWidth="1"/>
    <col min="6" max="15" width="1.37890625" style="1" customWidth="1"/>
    <col min="16" max="16" width="21.375" style="1" customWidth="1"/>
    <col min="17" max="17" width="1.75390625" style="1" customWidth="1"/>
    <col min="18" max="19" width="1.37890625" style="1" customWidth="1"/>
    <col min="20" max="20" width="0.37109375" style="1" customWidth="1"/>
    <col min="21" max="21" width="4.00390625" style="1" customWidth="1"/>
    <col min="22" max="22" width="0.875" style="1" customWidth="1"/>
    <col min="23" max="23" width="0.74609375" style="1" customWidth="1"/>
    <col min="24" max="24" width="1.625" style="1" customWidth="1"/>
    <col min="25" max="26" width="1.75390625" style="1" customWidth="1"/>
    <col min="27" max="27" width="1.12109375" style="1" customWidth="1"/>
    <col min="28" max="28" width="2.00390625" style="1" customWidth="1"/>
    <col min="29" max="30" width="1.12109375" style="1" customWidth="1"/>
    <col min="31" max="31" width="1.625" style="1" customWidth="1"/>
    <col min="32" max="33" width="1.875" style="1" customWidth="1"/>
    <col min="34" max="34" width="1.12109375" style="1" customWidth="1"/>
    <col min="35" max="35" width="1.37890625" style="1" customWidth="1"/>
    <col min="36" max="36" width="0.6171875" style="1" customWidth="1"/>
    <col min="37" max="37" width="1.12109375" style="1" customWidth="1"/>
    <col min="38" max="38" width="1.625" style="1" customWidth="1"/>
    <col min="39" max="39" width="0.74609375" style="1" customWidth="1"/>
    <col min="40" max="40" width="1.75390625" style="1" customWidth="1"/>
    <col min="41" max="41" width="1.875" style="1" customWidth="1"/>
    <col min="42" max="42" width="2.25390625" style="1" customWidth="1"/>
    <col min="43" max="43" width="1.875" style="1" customWidth="1"/>
    <col min="44" max="44" width="2.125" style="1" customWidth="1"/>
    <col min="45" max="64" width="1.37890625" style="1" customWidth="1"/>
    <col min="65" max="65" width="4.625" style="1" customWidth="1"/>
    <col min="66" max="70" width="1.37890625" style="1" customWidth="1"/>
    <col min="71" max="71" width="8.00390625" style="1" customWidth="1"/>
    <col min="72" max="76" width="1.37890625" style="1" customWidth="1"/>
    <col min="77" max="77" width="4.75390625" style="1" customWidth="1"/>
    <col min="78" max="82" width="1.37890625" style="1" customWidth="1"/>
    <col min="83" max="83" width="2.875" style="1" customWidth="1"/>
    <col min="84" max="88" width="1.37890625" style="1" customWidth="1"/>
    <col min="89" max="89" width="3.25390625" style="1" customWidth="1"/>
    <col min="90" max="94" width="1.37890625" style="1" customWidth="1"/>
    <col min="95" max="95" width="2.00390625" style="1" customWidth="1"/>
    <col min="96" max="100" width="1.37890625" style="1" customWidth="1"/>
    <col min="101" max="101" width="32.25390625" style="1" customWidth="1"/>
    <col min="102" max="102" width="16.625" style="1" customWidth="1"/>
    <col min="103" max="16384" width="1.37890625" style="1" customWidth="1"/>
  </cols>
  <sheetData>
    <row r="2" ht="6" customHeight="1"/>
    <row r="3" s="13" customFormat="1" ht="12">
      <c r="CW3" s="12" t="s">
        <v>23</v>
      </c>
    </row>
    <row r="4" spans="3:101" s="4" customFormat="1" ht="11.25">
      <c r="C4" s="158" t="s">
        <v>24</v>
      </c>
      <c r="D4" s="158"/>
      <c r="E4" s="158"/>
      <c r="F4" s="158" t="s">
        <v>25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 t="s">
        <v>30</v>
      </c>
      <c r="R4" s="158"/>
      <c r="S4" s="158"/>
      <c r="T4" s="158"/>
      <c r="U4" s="158"/>
      <c r="V4" s="158"/>
      <c r="W4" s="158"/>
      <c r="X4" s="148" t="s">
        <v>35</v>
      </c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50"/>
      <c r="AJ4" s="158" t="s">
        <v>41</v>
      </c>
      <c r="AK4" s="158"/>
      <c r="AL4" s="158"/>
      <c r="AM4" s="158"/>
      <c r="AN4" s="158"/>
      <c r="AO4" s="158"/>
      <c r="AP4" s="148" t="s">
        <v>45</v>
      </c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50"/>
      <c r="BT4" s="148" t="s">
        <v>46</v>
      </c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50"/>
      <c r="CR4" s="158" t="s">
        <v>43</v>
      </c>
      <c r="CS4" s="158"/>
      <c r="CT4" s="158"/>
      <c r="CU4" s="158"/>
      <c r="CV4" s="158"/>
      <c r="CW4" s="158"/>
    </row>
    <row r="5" spans="3:101" s="4" customFormat="1" ht="11.25">
      <c r="C5" s="157"/>
      <c r="D5" s="157"/>
      <c r="E5" s="157"/>
      <c r="F5" s="157" t="s">
        <v>26</v>
      </c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 t="s">
        <v>31</v>
      </c>
      <c r="R5" s="157"/>
      <c r="S5" s="157"/>
      <c r="T5" s="157"/>
      <c r="U5" s="157"/>
      <c r="V5" s="157"/>
      <c r="W5" s="157"/>
      <c r="X5" s="151" t="s">
        <v>37</v>
      </c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3"/>
      <c r="AJ5" s="157" t="s">
        <v>40</v>
      </c>
      <c r="AK5" s="157"/>
      <c r="AL5" s="157"/>
      <c r="AM5" s="157"/>
      <c r="AN5" s="157"/>
      <c r="AO5" s="157"/>
      <c r="AP5" s="154" t="s">
        <v>123</v>
      </c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6"/>
      <c r="BT5" s="154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6"/>
      <c r="CR5" s="161" t="s">
        <v>44</v>
      </c>
      <c r="CS5" s="161"/>
      <c r="CT5" s="161"/>
      <c r="CU5" s="161"/>
      <c r="CV5" s="161"/>
      <c r="CW5" s="161"/>
    </row>
    <row r="6" spans="3:101" s="4" customFormat="1" ht="11.25">
      <c r="C6" s="157"/>
      <c r="D6" s="157"/>
      <c r="E6" s="157"/>
      <c r="F6" s="157" t="s">
        <v>27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 t="s">
        <v>32</v>
      </c>
      <c r="R6" s="157"/>
      <c r="S6" s="157"/>
      <c r="T6" s="157"/>
      <c r="U6" s="157"/>
      <c r="V6" s="157"/>
      <c r="W6" s="157"/>
      <c r="X6" s="154" t="s">
        <v>36</v>
      </c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6"/>
      <c r="AJ6" s="157" t="s">
        <v>42</v>
      </c>
      <c r="AK6" s="157"/>
      <c r="AL6" s="157"/>
      <c r="AM6" s="157"/>
      <c r="AN6" s="157"/>
      <c r="AO6" s="157"/>
      <c r="AP6" s="157" t="s">
        <v>50</v>
      </c>
      <c r="AQ6" s="157"/>
      <c r="AR6" s="157"/>
      <c r="AS6" s="157"/>
      <c r="AT6" s="157"/>
      <c r="AU6" s="157"/>
      <c r="AV6" s="157" t="s">
        <v>52</v>
      </c>
      <c r="AW6" s="157"/>
      <c r="AX6" s="157"/>
      <c r="AY6" s="157"/>
      <c r="AZ6" s="157"/>
      <c r="BA6" s="157"/>
      <c r="BB6" s="148" t="s">
        <v>47</v>
      </c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50"/>
      <c r="BN6" s="157" t="s">
        <v>58</v>
      </c>
      <c r="BO6" s="157"/>
      <c r="BP6" s="157"/>
      <c r="BQ6" s="157"/>
      <c r="BR6" s="157"/>
      <c r="BS6" s="157"/>
      <c r="BT6" s="157" t="s">
        <v>124</v>
      </c>
      <c r="BU6" s="157"/>
      <c r="BV6" s="157"/>
      <c r="BW6" s="157"/>
      <c r="BX6" s="157"/>
      <c r="BY6" s="157"/>
      <c r="BZ6" s="32" t="s">
        <v>63</v>
      </c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4"/>
      <c r="CR6" s="157"/>
      <c r="CS6" s="157"/>
      <c r="CT6" s="157"/>
      <c r="CU6" s="157"/>
      <c r="CV6" s="157"/>
      <c r="CW6" s="157"/>
    </row>
    <row r="7" spans="3:101" s="4" customFormat="1" ht="11.25">
      <c r="C7" s="157"/>
      <c r="D7" s="157"/>
      <c r="E7" s="157"/>
      <c r="F7" s="157" t="s">
        <v>28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 t="s">
        <v>33</v>
      </c>
      <c r="R7" s="157"/>
      <c r="S7" s="157"/>
      <c r="T7" s="157"/>
      <c r="U7" s="157"/>
      <c r="V7" s="157"/>
      <c r="W7" s="157"/>
      <c r="X7" s="157" t="s">
        <v>38</v>
      </c>
      <c r="Y7" s="157"/>
      <c r="Z7" s="157"/>
      <c r="AA7" s="157"/>
      <c r="AB7" s="157"/>
      <c r="AC7" s="157"/>
      <c r="AD7" s="157" t="s">
        <v>39</v>
      </c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 t="s">
        <v>51</v>
      </c>
      <c r="AQ7" s="157"/>
      <c r="AR7" s="157"/>
      <c r="AS7" s="157"/>
      <c r="AT7" s="157"/>
      <c r="AU7" s="157"/>
      <c r="AV7" s="157" t="s">
        <v>53</v>
      </c>
      <c r="AW7" s="157"/>
      <c r="AX7" s="157"/>
      <c r="AY7" s="157"/>
      <c r="AZ7" s="157"/>
      <c r="BA7" s="157"/>
      <c r="BB7" s="151" t="s">
        <v>48</v>
      </c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3"/>
      <c r="BN7" s="157" t="s">
        <v>59</v>
      </c>
      <c r="BO7" s="157"/>
      <c r="BP7" s="157"/>
      <c r="BQ7" s="157"/>
      <c r="BR7" s="157"/>
      <c r="BS7" s="157"/>
      <c r="BT7" s="157" t="s">
        <v>64</v>
      </c>
      <c r="BU7" s="157"/>
      <c r="BV7" s="157"/>
      <c r="BW7" s="157"/>
      <c r="BX7" s="157"/>
      <c r="BY7" s="157"/>
      <c r="BZ7" s="157" t="s">
        <v>65</v>
      </c>
      <c r="CA7" s="157"/>
      <c r="CB7" s="157"/>
      <c r="CC7" s="157"/>
      <c r="CD7" s="157"/>
      <c r="CE7" s="157"/>
      <c r="CF7" s="157" t="s">
        <v>65</v>
      </c>
      <c r="CG7" s="157"/>
      <c r="CH7" s="157"/>
      <c r="CI7" s="157"/>
      <c r="CJ7" s="157"/>
      <c r="CK7" s="157"/>
      <c r="CL7" s="157" t="s">
        <v>72</v>
      </c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</row>
    <row r="8" spans="3:101" s="4" customFormat="1" ht="11.25">
      <c r="C8" s="157"/>
      <c r="D8" s="157"/>
      <c r="E8" s="157"/>
      <c r="F8" s="157" t="s">
        <v>29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 t="s">
        <v>34</v>
      </c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 t="s">
        <v>54</v>
      </c>
      <c r="AW8" s="157"/>
      <c r="AX8" s="157"/>
      <c r="AY8" s="157"/>
      <c r="AZ8" s="157"/>
      <c r="BA8" s="157"/>
      <c r="BB8" s="154" t="s">
        <v>49</v>
      </c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6"/>
      <c r="BN8" s="157" t="s">
        <v>61</v>
      </c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 t="s">
        <v>71</v>
      </c>
      <c r="CA8" s="157"/>
      <c r="CB8" s="157"/>
      <c r="CC8" s="157"/>
      <c r="CD8" s="157"/>
      <c r="CE8" s="157"/>
      <c r="CF8" s="157" t="s">
        <v>71</v>
      </c>
      <c r="CG8" s="157"/>
      <c r="CH8" s="157"/>
      <c r="CI8" s="157"/>
      <c r="CJ8" s="157"/>
      <c r="CK8" s="157"/>
      <c r="CL8" s="115" t="s">
        <v>139</v>
      </c>
      <c r="CM8" s="116"/>
      <c r="CN8" s="116"/>
      <c r="CO8" s="116"/>
      <c r="CP8" s="116"/>
      <c r="CQ8" s="117"/>
      <c r="CR8" s="157"/>
      <c r="CS8" s="157"/>
      <c r="CT8" s="157"/>
      <c r="CU8" s="157"/>
      <c r="CV8" s="157"/>
      <c r="CW8" s="157"/>
    </row>
    <row r="9" spans="3:101" s="4" customFormat="1" ht="11.25"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 t="s">
        <v>55</v>
      </c>
      <c r="AW9" s="157"/>
      <c r="AX9" s="157"/>
      <c r="AY9" s="157"/>
      <c r="AZ9" s="157"/>
      <c r="BA9" s="157"/>
      <c r="BB9" s="157" t="s">
        <v>56</v>
      </c>
      <c r="BC9" s="157"/>
      <c r="BD9" s="157"/>
      <c r="BE9" s="157"/>
      <c r="BF9" s="157"/>
      <c r="BG9" s="157"/>
      <c r="BH9" s="157" t="s">
        <v>57</v>
      </c>
      <c r="BI9" s="157"/>
      <c r="BJ9" s="157"/>
      <c r="BK9" s="157"/>
      <c r="BL9" s="157"/>
      <c r="BM9" s="157"/>
      <c r="BN9" s="157" t="s">
        <v>62</v>
      </c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 t="s">
        <v>62</v>
      </c>
      <c r="CA9" s="157"/>
      <c r="CB9" s="157"/>
      <c r="CC9" s="157"/>
      <c r="CD9" s="157"/>
      <c r="CE9" s="157"/>
      <c r="CF9" s="157" t="s">
        <v>62</v>
      </c>
      <c r="CG9" s="157"/>
      <c r="CH9" s="157"/>
      <c r="CI9" s="157"/>
      <c r="CJ9" s="157"/>
      <c r="CK9" s="157"/>
      <c r="CL9" s="115"/>
      <c r="CM9" s="116"/>
      <c r="CN9" s="116"/>
      <c r="CO9" s="116"/>
      <c r="CP9" s="116"/>
      <c r="CQ9" s="117"/>
      <c r="CR9" s="157"/>
      <c r="CS9" s="157"/>
      <c r="CT9" s="157"/>
      <c r="CU9" s="157"/>
      <c r="CV9" s="157"/>
      <c r="CW9" s="157"/>
    </row>
    <row r="10" spans="3:101" s="4" customFormat="1" ht="11.25"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 t="s">
        <v>54</v>
      </c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 t="s">
        <v>66</v>
      </c>
      <c r="CA10" s="157"/>
      <c r="CB10" s="157"/>
      <c r="CC10" s="157"/>
      <c r="CD10" s="157"/>
      <c r="CE10" s="157"/>
      <c r="CF10" s="157" t="s">
        <v>73</v>
      </c>
      <c r="CG10" s="157"/>
      <c r="CH10" s="157"/>
      <c r="CI10" s="157"/>
      <c r="CJ10" s="157"/>
      <c r="CK10" s="157"/>
      <c r="CL10" s="115"/>
      <c r="CM10" s="116"/>
      <c r="CN10" s="116"/>
      <c r="CO10" s="116"/>
      <c r="CP10" s="116"/>
      <c r="CQ10" s="117"/>
      <c r="CR10" s="157"/>
      <c r="CS10" s="157"/>
      <c r="CT10" s="157"/>
      <c r="CU10" s="157"/>
      <c r="CV10" s="157"/>
      <c r="CW10" s="157"/>
    </row>
    <row r="11" spans="3:101" s="4" customFormat="1" ht="11.25"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 t="s">
        <v>60</v>
      </c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 t="s">
        <v>67</v>
      </c>
      <c r="CA11" s="157"/>
      <c r="CB11" s="157"/>
      <c r="CC11" s="157"/>
      <c r="CD11" s="157"/>
      <c r="CE11" s="157"/>
      <c r="CF11" s="157" t="s">
        <v>74</v>
      </c>
      <c r="CG11" s="157"/>
      <c r="CH11" s="157"/>
      <c r="CI11" s="157"/>
      <c r="CJ11" s="157"/>
      <c r="CK11" s="157"/>
      <c r="CL11" s="115"/>
      <c r="CM11" s="116"/>
      <c r="CN11" s="116"/>
      <c r="CO11" s="116"/>
      <c r="CP11" s="116"/>
      <c r="CQ11" s="117"/>
      <c r="CR11" s="157"/>
      <c r="CS11" s="157"/>
      <c r="CT11" s="157"/>
      <c r="CU11" s="157"/>
      <c r="CV11" s="157"/>
      <c r="CW11" s="157"/>
    </row>
    <row r="12" spans="3:101" s="4" customFormat="1" ht="11.25"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 t="s">
        <v>68</v>
      </c>
      <c r="CA12" s="157"/>
      <c r="CB12" s="157"/>
      <c r="CC12" s="157"/>
      <c r="CD12" s="157"/>
      <c r="CE12" s="157"/>
      <c r="CF12" s="157" t="s">
        <v>75</v>
      </c>
      <c r="CG12" s="157"/>
      <c r="CH12" s="157"/>
      <c r="CI12" s="157"/>
      <c r="CJ12" s="157"/>
      <c r="CK12" s="157"/>
      <c r="CL12" s="115"/>
      <c r="CM12" s="116"/>
      <c r="CN12" s="116"/>
      <c r="CO12" s="116"/>
      <c r="CP12" s="116"/>
      <c r="CQ12" s="117"/>
      <c r="CR12" s="157"/>
      <c r="CS12" s="157"/>
      <c r="CT12" s="157"/>
      <c r="CU12" s="157"/>
      <c r="CV12" s="157"/>
      <c r="CW12" s="157"/>
    </row>
    <row r="13" spans="3:101" s="4" customFormat="1" ht="11.25"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 t="s">
        <v>69</v>
      </c>
      <c r="CA13" s="157"/>
      <c r="CB13" s="157"/>
      <c r="CC13" s="157"/>
      <c r="CD13" s="157"/>
      <c r="CE13" s="157"/>
      <c r="CF13" s="157" t="s">
        <v>76</v>
      </c>
      <c r="CG13" s="157"/>
      <c r="CH13" s="157"/>
      <c r="CI13" s="157"/>
      <c r="CJ13" s="157"/>
      <c r="CK13" s="157"/>
      <c r="CL13" s="115"/>
      <c r="CM13" s="116"/>
      <c r="CN13" s="116"/>
      <c r="CO13" s="116"/>
      <c r="CP13" s="116"/>
      <c r="CQ13" s="117"/>
      <c r="CR13" s="157"/>
      <c r="CS13" s="157"/>
      <c r="CT13" s="157"/>
      <c r="CU13" s="157"/>
      <c r="CV13" s="157"/>
      <c r="CW13" s="157"/>
    </row>
    <row r="14" spans="3:101" s="4" customFormat="1" ht="21.75" customHeight="1"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 t="s">
        <v>70</v>
      </c>
      <c r="CA14" s="157"/>
      <c r="CB14" s="157"/>
      <c r="CC14" s="157"/>
      <c r="CD14" s="157"/>
      <c r="CE14" s="157"/>
      <c r="CF14" s="157" t="s">
        <v>77</v>
      </c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</row>
    <row r="15" spans="3:102" s="4" customFormat="1" ht="17.25" customHeight="1">
      <c r="C15" s="159"/>
      <c r="D15" s="159"/>
      <c r="E15" s="159"/>
      <c r="F15" s="159">
        <v>1</v>
      </c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>
        <v>2</v>
      </c>
      <c r="R15" s="159"/>
      <c r="S15" s="159"/>
      <c r="T15" s="159"/>
      <c r="U15" s="159"/>
      <c r="V15" s="159"/>
      <c r="W15" s="159"/>
      <c r="X15" s="159">
        <v>3</v>
      </c>
      <c r="Y15" s="159"/>
      <c r="Z15" s="159"/>
      <c r="AA15" s="159"/>
      <c r="AB15" s="159"/>
      <c r="AC15" s="159"/>
      <c r="AD15" s="159">
        <v>4</v>
      </c>
      <c r="AE15" s="159"/>
      <c r="AF15" s="159"/>
      <c r="AG15" s="159"/>
      <c r="AH15" s="159"/>
      <c r="AI15" s="159"/>
      <c r="AJ15" s="159">
        <v>5</v>
      </c>
      <c r="AK15" s="159"/>
      <c r="AL15" s="159"/>
      <c r="AM15" s="159"/>
      <c r="AN15" s="159"/>
      <c r="AO15" s="159"/>
      <c r="AP15" s="159">
        <v>6</v>
      </c>
      <c r="AQ15" s="159"/>
      <c r="AR15" s="159"/>
      <c r="AS15" s="159"/>
      <c r="AT15" s="159"/>
      <c r="AU15" s="159"/>
      <c r="AV15" s="159">
        <v>7</v>
      </c>
      <c r="AW15" s="159"/>
      <c r="AX15" s="159"/>
      <c r="AY15" s="159"/>
      <c r="AZ15" s="159"/>
      <c r="BA15" s="159"/>
      <c r="BB15" s="159">
        <v>8</v>
      </c>
      <c r="BC15" s="159"/>
      <c r="BD15" s="159"/>
      <c r="BE15" s="159"/>
      <c r="BF15" s="159"/>
      <c r="BG15" s="159"/>
      <c r="BH15" s="159">
        <v>9</v>
      </c>
      <c r="BI15" s="159"/>
      <c r="BJ15" s="159"/>
      <c r="BK15" s="159"/>
      <c r="BL15" s="159"/>
      <c r="BM15" s="159"/>
      <c r="BN15" s="159">
        <v>10</v>
      </c>
      <c r="BO15" s="159"/>
      <c r="BP15" s="159"/>
      <c r="BQ15" s="159"/>
      <c r="BR15" s="159"/>
      <c r="BS15" s="159"/>
      <c r="BT15" s="159">
        <v>11</v>
      </c>
      <c r="BU15" s="159"/>
      <c r="BV15" s="159"/>
      <c r="BW15" s="159"/>
      <c r="BX15" s="159"/>
      <c r="BY15" s="159"/>
      <c r="BZ15" s="159">
        <v>12</v>
      </c>
      <c r="CA15" s="159"/>
      <c r="CB15" s="159"/>
      <c r="CC15" s="159"/>
      <c r="CD15" s="159"/>
      <c r="CE15" s="159"/>
      <c r="CF15" s="159">
        <v>13</v>
      </c>
      <c r="CG15" s="159"/>
      <c r="CH15" s="159"/>
      <c r="CI15" s="159"/>
      <c r="CJ15" s="159"/>
      <c r="CK15" s="159"/>
      <c r="CL15" s="159">
        <v>14</v>
      </c>
      <c r="CM15" s="159"/>
      <c r="CN15" s="159"/>
      <c r="CO15" s="159"/>
      <c r="CP15" s="159"/>
      <c r="CQ15" s="159"/>
      <c r="CR15" s="159">
        <v>15</v>
      </c>
      <c r="CS15" s="159"/>
      <c r="CT15" s="159"/>
      <c r="CU15" s="159"/>
      <c r="CV15" s="159"/>
      <c r="CW15" s="159"/>
      <c r="CX15" s="21"/>
    </row>
    <row r="16" spans="3:102" s="4" customFormat="1" ht="24.75" customHeight="1">
      <c r="C16" s="40" t="s">
        <v>333</v>
      </c>
      <c r="D16" s="41"/>
      <c r="E16" s="42"/>
      <c r="F16" s="43" t="s">
        <v>334</v>
      </c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32"/>
      <c r="R16" s="33"/>
      <c r="S16" s="33"/>
      <c r="T16" s="33"/>
      <c r="U16" s="33"/>
      <c r="V16" s="33"/>
      <c r="W16" s="34"/>
      <c r="X16" s="32"/>
      <c r="Y16" s="33"/>
      <c r="Z16" s="33"/>
      <c r="AA16" s="33"/>
      <c r="AB16" s="33"/>
      <c r="AC16" s="34"/>
      <c r="AD16" s="32"/>
      <c r="AE16" s="33"/>
      <c r="AF16" s="33"/>
      <c r="AG16" s="33"/>
      <c r="AH16" s="33"/>
      <c r="AI16" s="34"/>
      <c r="AJ16" s="32"/>
      <c r="AK16" s="33"/>
      <c r="AL16" s="33"/>
      <c r="AM16" s="33"/>
      <c r="AN16" s="33"/>
      <c r="AO16" s="34"/>
      <c r="AP16" s="35">
        <v>85.38</v>
      </c>
      <c r="AQ16" s="36"/>
      <c r="AR16" s="36"/>
      <c r="AS16" s="36"/>
      <c r="AT16" s="36"/>
      <c r="AU16" s="37"/>
      <c r="AV16" s="32"/>
      <c r="AW16" s="33"/>
      <c r="AX16" s="33"/>
      <c r="AY16" s="33"/>
      <c r="AZ16" s="33"/>
      <c r="BA16" s="34"/>
      <c r="BB16" s="35">
        <v>85.38</v>
      </c>
      <c r="BC16" s="36"/>
      <c r="BD16" s="36"/>
      <c r="BE16" s="36"/>
      <c r="BF16" s="36"/>
      <c r="BG16" s="37"/>
      <c r="BH16" s="38">
        <f>SUM(BH17)</f>
        <v>31.285956919999997</v>
      </c>
      <c r="BI16" s="38"/>
      <c r="BJ16" s="38"/>
      <c r="BK16" s="38"/>
      <c r="BL16" s="38"/>
      <c r="BM16" s="38"/>
      <c r="BN16" s="39">
        <v>-49.95</v>
      </c>
      <c r="BO16" s="39"/>
      <c r="BP16" s="39"/>
      <c r="BQ16" s="39"/>
      <c r="BR16" s="39"/>
      <c r="BS16" s="39"/>
      <c r="BT16" s="32"/>
      <c r="BU16" s="33"/>
      <c r="BV16" s="33"/>
      <c r="BW16" s="33"/>
      <c r="BX16" s="33"/>
      <c r="BY16" s="34"/>
      <c r="BZ16" s="32"/>
      <c r="CA16" s="33"/>
      <c r="CB16" s="33"/>
      <c r="CC16" s="33"/>
      <c r="CD16" s="33"/>
      <c r="CE16" s="34"/>
      <c r="CF16" s="32"/>
      <c r="CG16" s="33"/>
      <c r="CH16" s="33"/>
      <c r="CI16" s="33"/>
      <c r="CJ16" s="33"/>
      <c r="CK16" s="34"/>
      <c r="CL16" s="32"/>
      <c r="CM16" s="33"/>
      <c r="CN16" s="33"/>
      <c r="CO16" s="33"/>
      <c r="CP16" s="33"/>
      <c r="CQ16" s="34"/>
      <c r="CR16" s="32"/>
      <c r="CS16" s="33"/>
      <c r="CT16" s="33"/>
      <c r="CU16" s="33"/>
      <c r="CV16" s="33"/>
      <c r="CW16" s="34"/>
      <c r="CX16" s="21"/>
    </row>
    <row r="17" spans="3:102" s="16" customFormat="1" ht="21" customHeight="1">
      <c r="C17" s="170">
        <v>1</v>
      </c>
      <c r="D17" s="170"/>
      <c r="E17" s="170"/>
      <c r="F17" s="124" t="s">
        <v>142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6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2"/>
      <c r="AK17" s="162"/>
      <c r="AL17" s="162"/>
      <c r="AM17" s="162"/>
      <c r="AN17" s="162"/>
      <c r="AO17" s="162"/>
      <c r="AP17" s="167">
        <f>SUM(AP18,AP20,AP24,AP45,AP49,AP56,AP105)</f>
        <v>108.08099999999999</v>
      </c>
      <c r="AQ17" s="167"/>
      <c r="AR17" s="167"/>
      <c r="AS17" s="167"/>
      <c r="AT17" s="167"/>
      <c r="AU17" s="167"/>
      <c r="AV17" s="169"/>
      <c r="AW17" s="169"/>
      <c r="AX17" s="169"/>
      <c r="AY17" s="169"/>
      <c r="AZ17" s="169"/>
      <c r="BA17" s="169"/>
      <c r="BB17" s="167">
        <f>SUM(BB18,BB20,BB24,BB45,BB49,BB56,BB105)</f>
        <v>108.08099999999999</v>
      </c>
      <c r="BC17" s="167"/>
      <c r="BD17" s="167"/>
      <c r="BE17" s="167"/>
      <c r="BF17" s="167"/>
      <c r="BG17" s="167"/>
      <c r="BH17" s="168">
        <f>SUM(BH18,BH20,BH24,BH45,BH49,BH56,BH105)</f>
        <v>31.285956919999997</v>
      </c>
      <c r="BI17" s="168"/>
      <c r="BJ17" s="168"/>
      <c r="BK17" s="168"/>
      <c r="BL17" s="168"/>
      <c r="BM17" s="168"/>
      <c r="BN17" s="167">
        <f>SUM(BN18,BN20,BN24,BN45,BN49,BN56,BN105)</f>
        <v>-49.945810370000004</v>
      </c>
      <c r="BO17" s="167"/>
      <c r="BP17" s="167"/>
      <c r="BQ17" s="167"/>
      <c r="BR17" s="167"/>
      <c r="BS17" s="167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99"/>
      <c r="CS17" s="99"/>
      <c r="CT17" s="99"/>
      <c r="CU17" s="99"/>
      <c r="CV17" s="99"/>
      <c r="CW17" s="99"/>
      <c r="CX17" s="22"/>
    </row>
    <row r="18" spans="3:102" s="16" customFormat="1" ht="24.75" customHeight="1">
      <c r="C18" s="171">
        <v>1.1</v>
      </c>
      <c r="D18" s="171"/>
      <c r="E18" s="171"/>
      <c r="F18" s="108" t="s">
        <v>143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8"/>
      <c r="AK18" s="68"/>
      <c r="AL18" s="68"/>
      <c r="AM18" s="68"/>
      <c r="AN18" s="68"/>
      <c r="AO18" s="68"/>
      <c r="AP18" s="39">
        <f>SUM(AP19)</f>
        <v>0.926</v>
      </c>
      <c r="AQ18" s="39"/>
      <c r="AR18" s="39"/>
      <c r="AS18" s="39"/>
      <c r="AT18" s="39"/>
      <c r="AU18" s="39"/>
      <c r="AV18" s="78"/>
      <c r="AW18" s="78"/>
      <c r="AX18" s="78"/>
      <c r="AY18" s="78"/>
      <c r="AZ18" s="78"/>
      <c r="BA18" s="78"/>
      <c r="BB18" s="39">
        <f>SUM(BB19)</f>
        <v>0.926</v>
      </c>
      <c r="BC18" s="39"/>
      <c r="BD18" s="39"/>
      <c r="BE18" s="39"/>
      <c r="BF18" s="39"/>
      <c r="BG18" s="39"/>
      <c r="BH18" s="39">
        <f>SUM(BH19)</f>
        <v>0.19023541</v>
      </c>
      <c r="BI18" s="39"/>
      <c r="BJ18" s="39"/>
      <c r="BK18" s="39"/>
      <c r="BL18" s="39"/>
      <c r="BM18" s="39"/>
      <c r="BN18" s="39">
        <f>SUM(BN19)</f>
        <v>0</v>
      </c>
      <c r="BO18" s="39"/>
      <c r="BP18" s="39"/>
      <c r="BQ18" s="39"/>
      <c r="BR18" s="39"/>
      <c r="BS18" s="39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99"/>
      <c r="CS18" s="99"/>
      <c r="CT18" s="99"/>
      <c r="CU18" s="99"/>
      <c r="CV18" s="99"/>
      <c r="CW18" s="99"/>
      <c r="CX18" s="22"/>
    </row>
    <row r="19" spans="3:101" s="16" customFormat="1" ht="27.75" customHeight="1">
      <c r="C19" s="83" t="s">
        <v>133</v>
      </c>
      <c r="D19" s="83"/>
      <c r="E19" s="83"/>
      <c r="F19" s="96" t="s">
        <v>144</v>
      </c>
      <c r="G19" s="97"/>
      <c r="H19" s="97"/>
      <c r="I19" s="97"/>
      <c r="J19" s="97"/>
      <c r="K19" s="97"/>
      <c r="L19" s="97"/>
      <c r="M19" s="97"/>
      <c r="N19" s="97"/>
      <c r="O19" s="97"/>
      <c r="P19" s="98"/>
      <c r="Q19" s="66">
        <v>2020</v>
      </c>
      <c r="R19" s="66"/>
      <c r="S19" s="66"/>
      <c r="T19" s="66"/>
      <c r="U19" s="66"/>
      <c r="V19" s="66"/>
      <c r="W19" s="66"/>
      <c r="X19" s="72">
        <v>2020</v>
      </c>
      <c r="Y19" s="73"/>
      <c r="Z19" s="73"/>
      <c r="AA19" s="73"/>
      <c r="AB19" s="73"/>
      <c r="AC19" s="74"/>
      <c r="AD19" s="72">
        <v>2020</v>
      </c>
      <c r="AE19" s="73"/>
      <c r="AF19" s="73"/>
      <c r="AG19" s="73"/>
      <c r="AH19" s="73"/>
      <c r="AI19" s="74"/>
      <c r="AJ19" s="111">
        <v>100</v>
      </c>
      <c r="AK19" s="111"/>
      <c r="AL19" s="111"/>
      <c r="AM19" s="111"/>
      <c r="AN19" s="111"/>
      <c r="AO19" s="111"/>
      <c r="AP19" s="78">
        <v>0.926</v>
      </c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>
        <v>0.926</v>
      </c>
      <c r="BC19" s="78"/>
      <c r="BD19" s="78"/>
      <c r="BE19" s="78"/>
      <c r="BF19" s="78"/>
      <c r="BG19" s="78"/>
      <c r="BH19" s="78">
        <f>0.011132+0.03409871+0.01352+0.01152907+0.070821+0.04913463</f>
        <v>0.19023541</v>
      </c>
      <c r="BI19" s="78"/>
      <c r="BJ19" s="78"/>
      <c r="BK19" s="78"/>
      <c r="BL19" s="78"/>
      <c r="BM19" s="78"/>
      <c r="BN19" s="78">
        <v>0</v>
      </c>
      <c r="BO19" s="78"/>
      <c r="BP19" s="78"/>
      <c r="BQ19" s="78"/>
      <c r="BR19" s="78"/>
      <c r="BS19" s="78"/>
      <c r="BT19" s="78"/>
      <c r="BU19" s="68"/>
      <c r="BV19" s="68"/>
      <c r="BW19" s="68"/>
      <c r="BX19" s="68"/>
      <c r="BY19" s="68"/>
      <c r="BZ19" s="166"/>
      <c r="CA19" s="166"/>
      <c r="CB19" s="166"/>
      <c r="CC19" s="166"/>
      <c r="CD19" s="166"/>
      <c r="CE19" s="166"/>
      <c r="CF19" s="68"/>
      <c r="CG19" s="68"/>
      <c r="CH19" s="68"/>
      <c r="CI19" s="68"/>
      <c r="CJ19" s="68"/>
      <c r="CK19" s="68"/>
      <c r="CL19" s="78"/>
      <c r="CM19" s="68"/>
      <c r="CN19" s="68"/>
      <c r="CO19" s="68"/>
      <c r="CP19" s="68"/>
      <c r="CQ19" s="68"/>
      <c r="CR19" s="96" t="s">
        <v>331</v>
      </c>
      <c r="CS19" s="97"/>
      <c r="CT19" s="97"/>
      <c r="CU19" s="97"/>
      <c r="CV19" s="97"/>
      <c r="CW19" s="98"/>
    </row>
    <row r="20" spans="3:101" s="16" customFormat="1" ht="27" customHeight="1">
      <c r="C20" s="107" t="s">
        <v>146</v>
      </c>
      <c r="D20" s="107"/>
      <c r="E20" s="107"/>
      <c r="F20" s="108" t="s">
        <v>145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66"/>
      <c r="R20" s="66"/>
      <c r="S20" s="66"/>
      <c r="T20" s="66"/>
      <c r="U20" s="66"/>
      <c r="V20" s="66"/>
      <c r="W20" s="66"/>
      <c r="X20" s="72"/>
      <c r="Y20" s="73"/>
      <c r="Z20" s="73"/>
      <c r="AA20" s="73"/>
      <c r="AB20" s="73"/>
      <c r="AC20" s="74"/>
      <c r="AD20" s="72"/>
      <c r="AE20" s="73"/>
      <c r="AF20" s="73"/>
      <c r="AG20" s="73"/>
      <c r="AH20" s="73"/>
      <c r="AI20" s="74"/>
      <c r="AJ20" s="111"/>
      <c r="AK20" s="111"/>
      <c r="AL20" s="111"/>
      <c r="AM20" s="111"/>
      <c r="AN20" s="111"/>
      <c r="AO20" s="111"/>
      <c r="AP20" s="112">
        <f>SUM(AP21:AU23)</f>
        <v>8.59</v>
      </c>
      <c r="AQ20" s="113"/>
      <c r="AR20" s="113"/>
      <c r="AS20" s="113"/>
      <c r="AT20" s="113"/>
      <c r="AU20" s="114"/>
      <c r="AV20" s="78"/>
      <c r="AW20" s="78"/>
      <c r="AX20" s="78"/>
      <c r="AY20" s="78"/>
      <c r="AZ20" s="78"/>
      <c r="BA20" s="78"/>
      <c r="BB20" s="112">
        <f>SUM(BB21:BG23)</f>
        <v>8.59</v>
      </c>
      <c r="BC20" s="113"/>
      <c r="BD20" s="113"/>
      <c r="BE20" s="113"/>
      <c r="BF20" s="113"/>
      <c r="BG20" s="114"/>
      <c r="BH20" s="39">
        <f>SUM(BH21:BM23)</f>
        <v>6.534782849999999</v>
      </c>
      <c r="BI20" s="39"/>
      <c r="BJ20" s="39"/>
      <c r="BK20" s="39"/>
      <c r="BL20" s="39"/>
      <c r="BM20" s="39"/>
      <c r="BN20" s="112">
        <f>SUM(BN21:BS23)</f>
        <v>-1.77</v>
      </c>
      <c r="BO20" s="113"/>
      <c r="BP20" s="113"/>
      <c r="BQ20" s="113"/>
      <c r="BR20" s="113"/>
      <c r="BS20" s="114"/>
      <c r="BT20" s="78"/>
      <c r="BU20" s="68"/>
      <c r="BV20" s="68"/>
      <c r="BW20" s="68"/>
      <c r="BX20" s="68"/>
      <c r="BY20" s="68"/>
      <c r="BZ20" s="166"/>
      <c r="CA20" s="166"/>
      <c r="CB20" s="166"/>
      <c r="CC20" s="166"/>
      <c r="CD20" s="166"/>
      <c r="CE20" s="166"/>
      <c r="CF20" s="68"/>
      <c r="CG20" s="68"/>
      <c r="CH20" s="68"/>
      <c r="CI20" s="68"/>
      <c r="CJ20" s="68"/>
      <c r="CK20" s="68"/>
      <c r="CL20" s="78"/>
      <c r="CM20" s="68"/>
      <c r="CN20" s="68"/>
      <c r="CO20" s="68"/>
      <c r="CP20" s="68"/>
      <c r="CQ20" s="68"/>
      <c r="CR20" s="88"/>
      <c r="CS20" s="89"/>
      <c r="CT20" s="89"/>
      <c r="CU20" s="89"/>
      <c r="CV20" s="89"/>
      <c r="CW20" s="90"/>
    </row>
    <row r="21" spans="3:102" s="16" customFormat="1" ht="48.75" customHeight="1">
      <c r="C21" s="100" t="s">
        <v>150</v>
      </c>
      <c r="D21" s="101"/>
      <c r="E21" s="102"/>
      <c r="F21" s="96" t="s">
        <v>147</v>
      </c>
      <c r="G21" s="97"/>
      <c r="H21" s="97"/>
      <c r="I21" s="97"/>
      <c r="J21" s="97"/>
      <c r="K21" s="97"/>
      <c r="L21" s="97"/>
      <c r="M21" s="97"/>
      <c r="N21" s="97"/>
      <c r="O21" s="97"/>
      <c r="P21" s="98"/>
      <c r="Q21" s="66">
        <v>2020</v>
      </c>
      <c r="R21" s="66"/>
      <c r="S21" s="66"/>
      <c r="T21" s="66"/>
      <c r="U21" s="66"/>
      <c r="V21" s="66"/>
      <c r="W21" s="66"/>
      <c r="X21" s="72">
        <v>2020</v>
      </c>
      <c r="Y21" s="73"/>
      <c r="Z21" s="73"/>
      <c r="AA21" s="73"/>
      <c r="AB21" s="73"/>
      <c r="AC21" s="74"/>
      <c r="AD21" s="72">
        <v>2020</v>
      </c>
      <c r="AE21" s="73"/>
      <c r="AF21" s="73"/>
      <c r="AG21" s="73"/>
      <c r="AH21" s="73"/>
      <c r="AI21" s="74"/>
      <c r="AJ21" s="103">
        <v>100</v>
      </c>
      <c r="AK21" s="104"/>
      <c r="AL21" s="104"/>
      <c r="AM21" s="104"/>
      <c r="AN21" s="104"/>
      <c r="AO21" s="105"/>
      <c r="AP21" s="69">
        <v>4.88</v>
      </c>
      <c r="AQ21" s="70"/>
      <c r="AR21" s="70"/>
      <c r="AS21" s="70"/>
      <c r="AT21" s="70"/>
      <c r="AU21" s="71"/>
      <c r="AV21" s="85"/>
      <c r="AW21" s="86"/>
      <c r="AX21" s="86"/>
      <c r="AY21" s="86"/>
      <c r="AZ21" s="86"/>
      <c r="BA21" s="87"/>
      <c r="BB21" s="69">
        <v>4.88</v>
      </c>
      <c r="BC21" s="70"/>
      <c r="BD21" s="70"/>
      <c r="BE21" s="70"/>
      <c r="BF21" s="70"/>
      <c r="BG21" s="71"/>
      <c r="BH21" s="69">
        <f>0.03324471+0.05044833+0.05044833+0.0196815+0.0133303+0.004152+0.0172389+0.7115944+0.0310136+0.016824+0.0174384+0.0955976+0.83886241+0.0085493+0.0101813+0.05972185+0.10149425+1.007336+0.061445+0.01713+0.012755+0.01713+0.01354+0.120124+0.02366431+0.0018+0.0009+0.0009+0.0009+0.004844+0.203624+0.149337+0.025035+0.022721+0.024445+0.022504+0.03776+0.095195+0.000692+0.056596+0.542+0.045758+0.011773</f>
        <v>4.59972949</v>
      </c>
      <c r="BI21" s="70"/>
      <c r="BJ21" s="70"/>
      <c r="BK21" s="70"/>
      <c r="BL21" s="70"/>
      <c r="BM21" s="71"/>
      <c r="BN21" s="69">
        <v>0</v>
      </c>
      <c r="BO21" s="70"/>
      <c r="BP21" s="70"/>
      <c r="BQ21" s="70"/>
      <c r="BR21" s="70"/>
      <c r="BS21" s="71"/>
      <c r="BT21" s="80">
        <f>SUM(BZ21:CQ21)</f>
        <v>-0.27999999999999997</v>
      </c>
      <c r="BU21" s="81"/>
      <c r="BV21" s="81"/>
      <c r="BW21" s="81"/>
      <c r="BX21" s="81"/>
      <c r="BY21" s="82"/>
      <c r="BZ21" s="80">
        <v>-0.24</v>
      </c>
      <c r="CA21" s="81"/>
      <c r="CB21" s="81"/>
      <c r="CC21" s="81"/>
      <c r="CD21" s="81"/>
      <c r="CE21" s="82"/>
      <c r="CF21" s="80">
        <v>-0.038</v>
      </c>
      <c r="CG21" s="81"/>
      <c r="CH21" s="81"/>
      <c r="CI21" s="81"/>
      <c r="CJ21" s="81"/>
      <c r="CK21" s="82"/>
      <c r="CL21" s="80">
        <v>-0.002</v>
      </c>
      <c r="CM21" s="94"/>
      <c r="CN21" s="94"/>
      <c r="CO21" s="94"/>
      <c r="CP21" s="94"/>
      <c r="CQ21" s="95"/>
      <c r="CR21" s="106" t="s">
        <v>326</v>
      </c>
      <c r="CS21" s="97"/>
      <c r="CT21" s="97"/>
      <c r="CU21" s="97"/>
      <c r="CV21" s="97"/>
      <c r="CW21" s="98"/>
      <c r="CX21" s="23"/>
    </row>
    <row r="22" spans="3:101" s="16" customFormat="1" ht="18.75" customHeight="1">
      <c r="C22" s="100" t="s">
        <v>151</v>
      </c>
      <c r="D22" s="101"/>
      <c r="E22" s="102"/>
      <c r="F22" s="96" t="s">
        <v>148</v>
      </c>
      <c r="G22" s="97"/>
      <c r="H22" s="97"/>
      <c r="I22" s="97"/>
      <c r="J22" s="97"/>
      <c r="K22" s="97"/>
      <c r="L22" s="97"/>
      <c r="M22" s="97"/>
      <c r="N22" s="97"/>
      <c r="O22" s="97"/>
      <c r="P22" s="98"/>
      <c r="Q22" s="66">
        <v>2020</v>
      </c>
      <c r="R22" s="66"/>
      <c r="S22" s="66"/>
      <c r="T22" s="66"/>
      <c r="U22" s="66"/>
      <c r="V22" s="66"/>
      <c r="W22" s="66"/>
      <c r="X22" s="72">
        <v>2020</v>
      </c>
      <c r="Y22" s="73"/>
      <c r="Z22" s="73"/>
      <c r="AA22" s="73"/>
      <c r="AB22" s="73"/>
      <c r="AC22" s="74"/>
      <c r="AD22" s="72">
        <v>2020</v>
      </c>
      <c r="AE22" s="73"/>
      <c r="AF22" s="73"/>
      <c r="AG22" s="73"/>
      <c r="AH22" s="73"/>
      <c r="AI22" s="74"/>
      <c r="AJ22" s="103">
        <v>100</v>
      </c>
      <c r="AK22" s="104"/>
      <c r="AL22" s="104"/>
      <c r="AM22" s="104"/>
      <c r="AN22" s="104"/>
      <c r="AO22" s="105"/>
      <c r="AP22" s="69">
        <v>1.94</v>
      </c>
      <c r="AQ22" s="70"/>
      <c r="AR22" s="70"/>
      <c r="AS22" s="70"/>
      <c r="AT22" s="70"/>
      <c r="AU22" s="71"/>
      <c r="AV22" s="78"/>
      <c r="AW22" s="78"/>
      <c r="AX22" s="78"/>
      <c r="AY22" s="78"/>
      <c r="AZ22" s="78"/>
      <c r="BA22" s="78"/>
      <c r="BB22" s="69">
        <v>1.94</v>
      </c>
      <c r="BC22" s="70"/>
      <c r="BD22" s="70"/>
      <c r="BE22" s="70"/>
      <c r="BF22" s="70"/>
      <c r="BG22" s="71"/>
      <c r="BH22" s="69">
        <f>0.017106+0.025508+0.005849+0.22056923+0.15904436+0.34346986+0.02803011+0.0454768+1.09</f>
        <v>1.93505336</v>
      </c>
      <c r="BI22" s="70"/>
      <c r="BJ22" s="70"/>
      <c r="BK22" s="70"/>
      <c r="BL22" s="70"/>
      <c r="BM22" s="71"/>
      <c r="BN22" s="69">
        <v>0</v>
      </c>
      <c r="BO22" s="70"/>
      <c r="BP22" s="70"/>
      <c r="BQ22" s="70"/>
      <c r="BR22" s="70"/>
      <c r="BS22" s="71"/>
      <c r="BT22" s="80"/>
      <c r="BU22" s="81"/>
      <c r="BV22" s="81"/>
      <c r="BW22" s="81"/>
      <c r="BX22" s="81"/>
      <c r="BY22" s="82"/>
      <c r="BZ22" s="91"/>
      <c r="CA22" s="92"/>
      <c r="CB22" s="92"/>
      <c r="CC22" s="92"/>
      <c r="CD22" s="92"/>
      <c r="CE22" s="93"/>
      <c r="CF22" s="80"/>
      <c r="CG22" s="81"/>
      <c r="CH22" s="81"/>
      <c r="CI22" s="81"/>
      <c r="CJ22" s="81"/>
      <c r="CK22" s="82"/>
      <c r="CL22" s="69"/>
      <c r="CM22" s="94"/>
      <c r="CN22" s="94"/>
      <c r="CO22" s="94"/>
      <c r="CP22" s="94"/>
      <c r="CQ22" s="95"/>
      <c r="CR22" s="96" t="s">
        <v>331</v>
      </c>
      <c r="CS22" s="97"/>
      <c r="CT22" s="97"/>
      <c r="CU22" s="97"/>
      <c r="CV22" s="97"/>
      <c r="CW22" s="98"/>
    </row>
    <row r="23" spans="3:101" s="16" customFormat="1" ht="54.75" customHeight="1">
      <c r="C23" s="100" t="s">
        <v>152</v>
      </c>
      <c r="D23" s="101"/>
      <c r="E23" s="102"/>
      <c r="F23" s="96" t="s">
        <v>149</v>
      </c>
      <c r="G23" s="97"/>
      <c r="H23" s="97"/>
      <c r="I23" s="97"/>
      <c r="J23" s="97"/>
      <c r="K23" s="97"/>
      <c r="L23" s="97"/>
      <c r="M23" s="97"/>
      <c r="N23" s="97"/>
      <c r="O23" s="97"/>
      <c r="P23" s="98"/>
      <c r="Q23" s="66">
        <v>2020</v>
      </c>
      <c r="R23" s="66"/>
      <c r="S23" s="66"/>
      <c r="T23" s="66"/>
      <c r="U23" s="66"/>
      <c r="V23" s="66"/>
      <c r="W23" s="66"/>
      <c r="X23" s="72">
        <v>2020</v>
      </c>
      <c r="Y23" s="73"/>
      <c r="Z23" s="73"/>
      <c r="AA23" s="73"/>
      <c r="AB23" s="73"/>
      <c r="AC23" s="74"/>
      <c r="AD23" s="72"/>
      <c r="AE23" s="73"/>
      <c r="AF23" s="73"/>
      <c r="AG23" s="73"/>
      <c r="AH23" s="73"/>
      <c r="AI23" s="74"/>
      <c r="AJ23" s="103"/>
      <c r="AK23" s="104"/>
      <c r="AL23" s="104"/>
      <c r="AM23" s="104"/>
      <c r="AN23" s="104"/>
      <c r="AO23" s="105"/>
      <c r="AP23" s="69">
        <v>1.77</v>
      </c>
      <c r="AQ23" s="70"/>
      <c r="AR23" s="70"/>
      <c r="AS23" s="70"/>
      <c r="AT23" s="70"/>
      <c r="AU23" s="71"/>
      <c r="AV23" s="78"/>
      <c r="AW23" s="78"/>
      <c r="AX23" s="78"/>
      <c r="AY23" s="78"/>
      <c r="AZ23" s="78"/>
      <c r="BA23" s="78"/>
      <c r="BB23" s="69">
        <v>1.77</v>
      </c>
      <c r="BC23" s="70"/>
      <c r="BD23" s="70"/>
      <c r="BE23" s="70"/>
      <c r="BF23" s="70"/>
      <c r="BG23" s="71"/>
      <c r="BH23" s="69"/>
      <c r="BI23" s="70"/>
      <c r="BJ23" s="70"/>
      <c r="BK23" s="70"/>
      <c r="BL23" s="70"/>
      <c r="BM23" s="71"/>
      <c r="BN23" s="69">
        <f>SUM(BH23-BB23)</f>
        <v>-1.77</v>
      </c>
      <c r="BO23" s="70"/>
      <c r="BP23" s="70"/>
      <c r="BQ23" s="70"/>
      <c r="BR23" s="70"/>
      <c r="BS23" s="71"/>
      <c r="BT23" s="80"/>
      <c r="BU23" s="81"/>
      <c r="BV23" s="81"/>
      <c r="BW23" s="81"/>
      <c r="BX23" s="81"/>
      <c r="BY23" s="82"/>
      <c r="BZ23" s="163"/>
      <c r="CA23" s="164"/>
      <c r="CB23" s="164"/>
      <c r="CC23" s="164"/>
      <c r="CD23" s="164"/>
      <c r="CE23" s="165"/>
      <c r="CF23" s="163"/>
      <c r="CG23" s="164"/>
      <c r="CH23" s="164"/>
      <c r="CI23" s="164"/>
      <c r="CJ23" s="164"/>
      <c r="CK23" s="165"/>
      <c r="CL23" s="72"/>
      <c r="CM23" s="73"/>
      <c r="CN23" s="73"/>
      <c r="CO23" s="73"/>
      <c r="CP23" s="73"/>
      <c r="CQ23" s="74"/>
      <c r="CR23" s="88"/>
      <c r="CS23" s="89"/>
      <c r="CT23" s="89"/>
      <c r="CU23" s="89"/>
      <c r="CV23" s="89"/>
      <c r="CW23" s="90"/>
    </row>
    <row r="24" spans="3:101" s="16" customFormat="1" ht="36" customHeight="1">
      <c r="C24" s="172" t="s">
        <v>332</v>
      </c>
      <c r="D24" s="171"/>
      <c r="E24" s="171"/>
      <c r="F24" s="108" t="s">
        <v>134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10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8"/>
      <c r="AK24" s="68"/>
      <c r="AL24" s="68"/>
      <c r="AM24" s="68"/>
      <c r="AN24" s="68"/>
      <c r="AO24" s="68"/>
      <c r="AP24" s="39">
        <f>SUM(AP25:AU44)</f>
        <v>33.830999999999996</v>
      </c>
      <c r="AQ24" s="39"/>
      <c r="AR24" s="39"/>
      <c r="AS24" s="39"/>
      <c r="AT24" s="39"/>
      <c r="AU24" s="39"/>
      <c r="AV24" s="78"/>
      <c r="AW24" s="78"/>
      <c r="AX24" s="78"/>
      <c r="AY24" s="78"/>
      <c r="AZ24" s="78"/>
      <c r="BA24" s="78"/>
      <c r="BB24" s="39">
        <f>SUM(BB25:BG44)</f>
        <v>33.830999999999996</v>
      </c>
      <c r="BC24" s="39"/>
      <c r="BD24" s="39"/>
      <c r="BE24" s="39"/>
      <c r="BF24" s="39"/>
      <c r="BG24" s="39"/>
      <c r="BH24" s="39">
        <f>SUM(BH25:BM44)</f>
        <v>9.407715349999998</v>
      </c>
      <c r="BI24" s="39"/>
      <c r="BJ24" s="39"/>
      <c r="BK24" s="39"/>
      <c r="BL24" s="39"/>
      <c r="BM24" s="39"/>
      <c r="BN24" s="39">
        <f>SUM(BN25:BS44)</f>
        <v>-10.889361910000002</v>
      </c>
      <c r="BO24" s="39"/>
      <c r="BP24" s="39"/>
      <c r="BQ24" s="39"/>
      <c r="BR24" s="39"/>
      <c r="BS24" s="39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99"/>
      <c r="CS24" s="99"/>
      <c r="CT24" s="99"/>
      <c r="CU24" s="99"/>
      <c r="CV24" s="99"/>
      <c r="CW24" s="99"/>
    </row>
    <row r="25" spans="3:101" s="17" customFormat="1" ht="20.25" customHeight="1">
      <c r="C25" s="83" t="s">
        <v>171</v>
      </c>
      <c r="D25" s="83"/>
      <c r="E25" s="83"/>
      <c r="F25" s="67" t="s">
        <v>153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6">
        <v>2020</v>
      </c>
      <c r="R25" s="66"/>
      <c r="S25" s="66"/>
      <c r="T25" s="66"/>
      <c r="U25" s="66"/>
      <c r="V25" s="66"/>
      <c r="W25" s="66"/>
      <c r="X25" s="72">
        <v>2020</v>
      </c>
      <c r="Y25" s="73"/>
      <c r="Z25" s="73"/>
      <c r="AA25" s="73"/>
      <c r="AB25" s="73"/>
      <c r="AC25" s="74"/>
      <c r="AD25" s="72">
        <v>2020</v>
      </c>
      <c r="AE25" s="73"/>
      <c r="AF25" s="73"/>
      <c r="AG25" s="73"/>
      <c r="AH25" s="73"/>
      <c r="AI25" s="74"/>
      <c r="AJ25" s="68">
        <v>100</v>
      </c>
      <c r="AK25" s="68"/>
      <c r="AL25" s="68"/>
      <c r="AM25" s="68"/>
      <c r="AN25" s="68"/>
      <c r="AO25" s="68"/>
      <c r="AP25" s="78">
        <v>2.2</v>
      </c>
      <c r="AQ25" s="78"/>
      <c r="AR25" s="78"/>
      <c r="AS25" s="78"/>
      <c r="AT25" s="78"/>
      <c r="AU25" s="78"/>
      <c r="AV25" s="53"/>
      <c r="AW25" s="53"/>
      <c r="AX25" s="53"/>
      <c r="AY25" s="53"/>
      <c r="AZ25" s="53"/>
      <c r="BA25" s="53"/>
      <c r="BB25" s="78">
        <v>2.2</v>
      </c>
      <c r="BC25" s="78"/>
      <c r="BD25" s="78"/>
      <c r="BE25" s="78"/>
      <c r="BF25" s="78"/>
      <c r="BG25" s="78"/>
      <c r="BH25" s="69">
        <f>0.011436+0.01037505+0.848766</f>
        <v>0.8705770500000001</v>
      </c>
      <c r="BI25" s="70"/>
      <c r="BJ25" s="70"/>
      <c r="BK25" s="70"/>
      <c r="BL25" s="70"/>
      <c r="BM25" s="71"/>
      <c r="BN25" s="78">
        <v>0</v>
      </c>
      <c r="BO25" s="78"/>
      <c r="BP25" s="78"/>
      <c r="BQ25" s="78"/>
      <c r="BR25" s="78"/>
      <c r="BS25" s="78"/>
      <c r="BT25" s="77">
        <f>SUM(BZ25:CQ25)</f>
        <v>-1.351234</v>
      </c>
      <c r="BU25" s="79"/>
      <c r="BV25" s="79"/>
      <c r="BW25" s="79"/>
      <c r="BX25" s="79"/>
      <c r="BY25" s="79"/>
      <c r="BZ25" s="77">
        <f>0.911194-2.2</f>
        <v>-1.2888060000000001</v>
      </c>
      <c r="CA25" s="77"/>
      <c r="CB25" s="77"/>
      <c r="CC25" s="77"/>
      <c r="CD25" s="77"/>
      <c r="CE25" s="77"/>
      <c r="CF25" s="79">
        <v>0</v>
      </c>
      <c r="CG25" s="79"/>
      <c r="CH25" s="79"/>
      <c r="CI25" s="79"/>
      <c r="CJ25" s="79"/>
      <c r="CK25" s="79"/>
      <c r="CL25" s="77">
        <f>0.848766-0.911194</f>
        <v>-0.06242799999999993</v>
      </c>
      <c r="CM25" s="79"/>
      <c r="CN25" s="79"/>
      <c r="CO25" s="79"/>
      <c r="CP25" s="79"/>
      <c r="CQ25" s="79"/>
      <c r="CR25" s="46" t="s">
        <v>325</v>
      </c>
      <c r="CS25" s="47"/>
      <c r="CT25" s="47"/>
      <c r="CU25" s="47"/>
      <c r="CV25" s="47"/>
      <c r="CW25" s="48"/>
    </row>
    <row r="26" spans="3:101" s="17" customFormat="1" ht="18" customHeight="1">
      <c r="C26" s="83" t="s">
        <v>172</v>
      </c>
      <c r="D26" s="83"/>
      <c r="E26" s="83"/>
      <c r="F26" s="67" t="s">
        <v>154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6">
        <v>2020</v>
      </c>
      <c r="R26" s="66"/>
      <c r="S26" s="66"/>
      <c r="T26" s="66"/>
      <c r="U26" s="66"/>
      <c r="V26" s="66"/>
      <c r="W26" s="66"/>
      <c r="X26" s="72">
        <v>2020</v>
      </c>
      <c r="Y26" s="73"/>
      <c r="Z26" s="73"/>
      <c r="AA26" s="73"/>
      <c r="AB26" s="73"/>
      <c r="AC26" s="74"/>
      <c r="AD26" s="72">
        <v>2020</v>
      </c>
      <c r="AE26" s="73"/>
      <c r="AF26" s="73"/>
      <c r="AG26" s="73"/>
      <c r="AH26" s="73"/>
      <c r="AI26" s="74"/>
      <c r="AJ26" s="68">
        <v>100</v>
      </c>
      <c r="AK26" s="68"/>
      <c r="AL26" s="68"/>
      <c r="AM26" s="68"/>
      <c r="AN26" s="68"/>
      <c r="AO26" s="68"/>
      <c r="AP26" s="78">
        <v>4.4</v>
      </c>
      <c r="AQ26" s="78"/>
      <c r="AR26" s="78"/>
      <c r="AS26" s="78"/>
      <c r="AT26" s="78"/>
      <c r="AU26" s="78"/>
      <c r="AV26" s="53"/>
      <c r="AW26" s="53"/>
      <c r="AX26" s="53"/>
      <c r="AY26" s="53"/>
      <c r="AZ26" s="53"/>
      <c r="BA26" s="53"/>
      <c r="BB26" s="78">
        <v>4.4</v>
      </c>
      <c r="BC26" s="78"/>
      <c r="BD26" s="78"/>
      <c r="BE26" s="78"/>
      <c r="BF26" s="78"/>
      <c r="BG26" s="78"/>
      <c r="BH26" s="69">
        <f>0.014946+0.00830004+0.38354+0.378199+0.378</f>
        <v>1.1629850400000001</v>
      </c>
      <c r="BI26" s="70"/>
      <c r="BJ26" s="70"/>
      <c r="BK26" s="70"/>
      <c r="BL26" s="70"/>
      <c r="BM26" s="71"/>
      <c r="BN26" s="78">
        <v>0</v>
      </c>
      <c r="BO26" s="78"/>
      <c r="BP26" s="78"/>
      <c r="BQ26" s="78"/>
      <c r="BR26" s="78"/>
      <c r="BS26" s="78"/>
      <c r="BT26" s="77">
        <f>SUM(BZ26:CQ26)</f>
        <v>-3.2597440000000004</v>
      </c>
      <c r="BU26" s="79"/>
      <c r="BV26" s="79"/>
      <c r="BW26" s="79"/>
      <c r="BX26" s="79"/>
      <c r="BY26" s="79"/>
      <c r="BZ26" s="77">
        <f>1.173318-BB26</f>
        <v>-3.2266820000000003</v>
      </c>
      <c r="CA26" s="79"/>
      <c r="CB26" s="79"/>
      <c r="CC26" s="79"/>
      <c r="CD26" s="79"/>
      <c r="CE26" s="79"/>
      <c r="CF26" s="79">
        <v>0</v>
      </c>
      <c r="CG26" s="79"/>
      <c r="CH26" s="79"/>
      <c r="CI26" s="79"/>
      <c r="CJ26" s="79"/>
      <c r="CK26" s="79"/>
      <c r="CL26" s="77">
        <f>1.139938-1.173</f>
        <v>-0.03306200000000015</v>
      </c>
      <c r="CM26" s="79"/>
      <c r="CN26" s="79"/>
      <c r="CO26" s="79"/>
      <c r="CP26" s="79"/>
      <c r="CQ26" s="79"/>
      <c r="CR26" s="49"/>
      <c r="CS26" s="50"/>
      <c r="CT26" s="50"/>
      <c r="CU26" s="50"/>
      <c r="CV26" s="50"/>
      <c r="CW26" s="51"/>
    </row>
    <row r="27" spans="3:101" s="17" customFormat="1" ht="15.75">
      <c r="C27" s="83" t="s">
        <v>173</v>
      </c>
      <c r="D27" s="83"/>
      <c r="E27" s="83"/>
      <c r="F27" s="67" t="s">
        <v>155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6">
        <v>2020</v>
      </c>
      <c r="R27" s="66"/>
      <c r="S27" s="66"/>
      <c r="T27" s="66"/>
      <c r="U27" s="66"/>
      <c r="V27" s="66"/>
      <c r="W27" s="66"/>
      <c r="X27" s="72">
        <v>2020</v>
      </c>
      <c r="Y27" s="73"/>
      <c r="Z27" s="73"/>
      <c r="AA27" s="73"/>
      <c r="AB27" s="73"/>
      <c r="AC27" s="74"/>
      <c r="AD27" s="72"/>
      <c r="AE27" s="73"/>
      <c r="AF27" s="73"/>
      <c r="AG27" s="73"/>
      <c r="AH27" s="73"/>
      <c r="AI27" s="74"/>
      <c r="AJ27" s="68"/>
      <c r="AK27" s="68"/>
      <c r="AL27" s="68"/>
      <c r="AM27" s="68"/>
      <c r="AN27" s="68"/>
      <c r="AO27" s="68"/>
      <c r="AP27" s="78">
        <v>1.32</v>
      </c>
      <c r="AQ27" s="78"/>
      <c r="AR27" s="78"/>
      <c r="AS27" s="78"/>
      <c r="AT27" s="78"/>
      <c r="AU27" s="78"/>
      <c r="AV27" s="53"/>
      <c r="AW27" s="53"/>
      <c r="AX27" s="53"/>
      <c r="AY27" s="53"/>
      <c r="AZ27" s="53"/>
      <c r="BA27" s="53"/>
      <c r="BB27" s="78">
        <v>1.32</v>
      </c>
      <c r="BC27" s="78"/>
      <c r="BD27" s="78"/>
      <c r="BE27" s="78"/>
      <c r="BF27" s="78"/>
      <c r="BG27" s="78"/>
      <c r="BH27" s="69">
        <v>0.01682</v>
      </c>
      <c r="BI27" s="70"/>
      <c r="BJ27" s="70"/>
      <c r="BK27" s="70"/>
      <c r="BL27" s="70"/>
      <c r="BM27" s="71"/>
      <c r="BN27" s="78">
        <f aca="true" t="shared" si="0" ref="BN27:BN43">SUM(BH27-BB27)</f>
        <v>-1.30318</v>
      </c>
      <c r="BO27" s="78"/>
      <c r="BP27" s="78"/>
      <c r="BQ27" s="78"/>
      <c r="BR27" s="78"/>
      <c r="BS27" s="78"/>
      <c r="BT27" s="77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88"/>
      <c r="CS27" s="89"/>
      <c r="CT27" s="89"/>
      <c r="CU27" s="89"/>
      <c r="CV27" s="89"/>
      <c r="CW27" s="90"/>
    </row>
    <row r="28" spans="3:101" s="17" customFormat="1" ht="18" customHeight="1">
      <c r="C28" s="83" t="s">
        <v>174</v>
      </c>
      <c r="D28" s="83"/>
      <c r="E28" s="83"/>
      <c r="F28" s="67" t="s">
        <v>156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6">
        <v>2020</v>
      </c>
      <c r="R28" s="66"/>
      <c r="S28" s="66"/>
      <c r="T28" s="66"/>
      <c r="U28" s="66"/>
      <c r="V28" s="66"/>
      <c r="W28" s="66"/>
      <c r="X28" s="72">
        <v>2020</v>
      </c>
      <c r="Y28" s="73"/>
      <c r="Z28" s="73"/>
      <c r="AA28" s="73"/>
      <c r="AB28" s="73"/>
      <c r="AC28" s="74"/>
      <c r="AD28" s="72"/>
      <c r="AE28" s="73"/>
      <c r="AF28" s="73"/>
      <c r="AG28" s="73"/>
      <c r="AH28" s="73"/>
      <c r="AI28" s="74"/>
      <c r="AJ28" s="68"/>
      <c r="AK28" s="68"/>
      <c r="AL28" s="68"/>
      <c r="AM28" s="68"/>
      <c r="AN28" s="68"/>
      <c r="AO28" s="68"/>
      <c r="AP28" s="78">
        <v>1.1</v>
      </c>
      <c r="AQ28" s="78"/>
      <c r="AR28" s="78"/>
      <c r="AS28" s="78"/>
      <c r="AT28" s="78"/>
      <c r="AU28" s="78"/>
      <c r="AV28" s="53"/>
      <c r="AW28" s="53"/>
      <c r="AX28" s="53"/>
      <c r="AY28" s="53"/>
      <c r="AZ28" s="53"/>
      <c r="BA28" s="53"/>
      <c r="BB28" s="78">
        <v>1.1</v>
      </c>
      <c r="BC28" s="78"/>
      <c r="BD28" s="78"/>
      <c r="BE28" s="78"/>
      <c r="BF28" s="78"/>
      <c r="BG28" s="78"/>
      <c r="BH28" s="69">
        <v>0.007959</v>
      </c>
      <c r="BI28" s="70"/>
      <c r="BJ28" s="70"/>
      <c r="BK28" s="70"/>
      <c r="BL28" s="70"/>
      <c r="BM28" s="71"/>
      <c r="BN28" s="78">
        <f t="shared" si="0"/>
        <v>-1.092041</v>
      </c>
      <c r="BO28" s="78"/>
      <c r="BP28" s="78"/>
      <c r="BQ28" s="78"/>
      <c r="BR28" s="78"/>
      <c r="BS28" s="78"/>
      <c r="BT28" s="77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88"/>
      <c r="CS28" s="89"/>
      <c r="CT28" s="89"/>
      <c r="CU28" s="89"/>
      <c r="CV28" s="89"/>
      <c r="CW28" s="90"/>
    </row>
    <row r="29" spans="3:101" s="17" customFormat="1" ht="15.75">
      <c r="C29" s="83" t="s">
        <v>175</v>
      </c>
      <c r="D29" s="83"/>
      <c r="E29" s="83"/>
      <c r="F29" s="67" t="s">
        <v>157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6">
        <v>2020</v>
      </c>
      <c r="R29" s="66"/>
      <c r="S29" s="66"/>
      <c r="T29" s="66"/>
      <c r="U29" s="66"/>
      <c r="V29" s="66"/>
      <c r="W29" s="66"/>
      <c r="X29" s="72">
        <v>2020</v>
      </c>
      <c r="Y29" s="73"/>
      <c r="Z29" s="73"/>
      <c r="AA29" s="73"/>
      <c r="AB29" s="73"/>
      <c r="AC29" s="74"/>
      <c r="AD29" s="72"/>
      <c r="AE29" s="73"/>
      <c r="AF29" s="73"/>
      <c r="AG29" s="73"/>
      <c r="AH29" s="73"/>
      <c r="AI29" s="74"/>
      <c r="AJ29" s="68"/>
      <c r="AK29" s="68"/>
      <c r="AL29" s="68"/>
      <c r="AM29" s="68"/>
      <c r="AN29" s="68"/>
      <c r="AO29" s="68"/>
      <c r="AP29" s="78">
        <v>0.876</v>
      </c>
      <c r="AQ29" s="78"/>
      <c r="AR29" s="78"/>
      <c r="AS29" s="78"/>
      <c r="AT29" s="78"/>
      <c r="AU29" s="78"/>
      <c r="AV29" s="53"/>
      <c r="AW29" s="53"/>
      <c r="AX29" s="53"/>
      <c r="AY29" s="53"/>
      <c r="AZ29" s="53"/>
      <c r="BA29" s="53"/>
      <c r="BB29" s="78">
        <v>0.876</v>
      </c>
      <c r="BC29" s="78"/>
      <c r="BD29" s="78"/>
      <c r="BE29" s="78"/>
      <c r="BF29" s="78"/>
      <c r="BG29" s="78"/>
      <c r="BH29" s="69">
        <v>0.005448</v>
      </c>
      <c r="BI29" s="70"/>
      <c r="BJ29" s="70"/>
      <c r="BK29" s="70"/>
      <c r="BL29" s="70"/>
      <c r="BM29" s="71"/>
      <c r="BN29" s="78">
        <f t="shared" si="0"/>
        <v>-0.870552</v>
      </c>
      <c r="BO29" s="78"/>
      <c r="BP29" s="78"/>
      <c r="BQ29" s="78"/>
      <c r="BR29" s="78"/>
      <c r="BS29" s="78"/>
      <c r="BT29" s="77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88"/>
      <c r="CS29" s="89"/>
      <c r="CT29" s="89"/>
      <c r="CU29" s="89"/>
      <c r="CV29" s="89"/>
      <c r="CW29" s="90"/>
    </row>
    <row r="30" spans="3:101" s="17" customFormat="1" ht="15.75">
      <c r="C30" s="83" t="s">
        <v>176</v>
      </c>
      <c r="D30" s="83"/>
      <c r="E30" s="83"/>
      <c r="F30" s="67" t="s">
        <v>158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6">
        <v>2020</v>
      </c>
      <c r="R30" s="66"/>
      <c r="S30" s="66"/>
      <c r="T30" s="66"/>
      <c r="U30" s="66"/>
      <c r="V30" s="66"/>
      <c r="W30" s="66"/>
      <c r="X30" s="72">
        <v>2020</v>
      </c>
      <c r="Y30" s="73"/>
      <c r="Z30" s="73"/>
      <c r="AA30" s="73"/>
      <c r="AB30" s="73"/>
      <c r="AC30" s="74"/>
      <c r="AD30" s="72"/>
      <c r="AE30" s="73"/>
      <c r="AF30" s="73"/>
      <c r="AG30" s="73"/>
      <c r="AH30" s="73"/>
      <c r="AI30" s="74"/>
      <c r="AJ30" s="68"/>
      <c r="AK30" s="68"/>
      <c r="AL30" s="68"/>
      <c r="AM30" s="68"/>
      <c r="AN30" s="68"/>
      <c r="AO30" s="68"/>
      <c r="AP30" s="78">
        <v>1.1</v>
      </c>
      <c r="AQ30" s="78"/>
      <c r="AR30" s="78"/>
      <c r="AS30" s="78"/>
      <c r="AT30" s="78"/>
      <c r="AU30" s="78"/>
      <c r="AV30" s="53"/>
      <c r="AW30" s="53"/>
      <c r="AX30" s="53"/>
      <c r="AY30" s="53"/>
      <c r="AZ30" s="53"/>
      <c r="BA30" s="53"/>
      <c r="BB30" s="78">
        <v>1.1</v>
      </c>
      <c r="BC30" s="78"/>
      <c r="BD30" s="78"/>
      <c r="BE30" s="78"/>
      <c r="BF30" s="78"/>
      <c r="BG30" s="78"/>
      <c r="BH30" s="69">
        <v>0.006985</v>
      </c>
      <c r="BI30" s="70"/>
      <c r="BJ30" s="70"/>
      <c r="BK30" s="70"/>
      <c r="BL30" s="70"/>
      <c r="BM30" s="71"/>
      <c r="BN30" s="78">
        <f t="shared" si="0"/>
        <v>-1.093015</v>
      </c>
      <c r="BO30" s="78"/>
      <c r="BP30" s="78"/>
      <c r="BQ30" s="78"/>
      <c r="BR30" s="78"/>
      <c r="BS30" s="78"/>
      <c r="BT30" s="77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88"/>
      <c r="CS30" s="89"/>
      <c r="CT30" s="89"/>
      <c r="CU30" s="89"/>
      <c r="CV30" s="89"/>
      <c r="CW30" s="90"/>
    </row>
    <row r="31" spans="3:101" s="17" customFormat="1" ht="15.75">
      <c r="C31" s="83" t="s">
        <v>177</v>
      </c>
      <c r="D31" s="83"/>
      <c r="E31" s="83"/>
      <c r="F31" s="67" t="s">
        <v>159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6">
        <v>2020</v>
      </c>
      <c r="R31" s="66"/>
      <c r="S31" s="66"/>
      <c r="T31" s="66"/>
      <c r="U31" s="66"/>
      <c r="V31" s="66"/>
      <c r="W31" s="66"/>
      <c r="X31" s="72">
        <v>2020</v>
      </c>
      <c r="Y31" s="73"/>
      <c r="Z31" s="73"/>
      <c r="AA31" s="73"/>
      <c r="AB31" s="73"/>
      <c r="AC31" s="74"/>
      <c r="AD31" s="72"/>
      <c r="AE31" s="73"/>
      <c r="AF31" s="73"/>
      <c r="AG31" s="73"/>
      <c r="AH31" s="73"/>
      <c r="AI31" s="74"/>
      <c r="AJ31" s="68"/>
      <c r="AK31" s="68"/>
      <c r="AL31" s="68"/>
      <c r="AM31" s="68"/>
      <c r="AN31" s="68"/>
      <c r="AO31" s="68"/>
      <c r="AP31" s="78">
        <v>0.44</v>
      </c>
      <c r="AQ31" s="78"/>
      <c r="AR31" s="78"/>
      <c r="AS31" s="78"/>
      <c r="AT31" s="78"/>
      <c r="AU31" s="78"/>
      <c r="AV31" s="53"/>
      <c r="AW31" s="53"/>
      <c r="AX31" s="53"/>
      <c r="AY31" s="53"/>
      <c r="AZ31" s="53"/>
      <c r="BA31" s="53"/>
      <c r="BB31" s="78">
        <v>0.44</v>
      </c>
      <c r="BC31" s="78"/>
      <c r="BD31" s="78"/>
      <c r="BE31" s="78"/>
      <c r="BF31" s="78"/>
      <c r="BG31" s="78"/>
      <c r="BH31" s="80">
        <v>0.003671</v>
      </c>
      <c r="BI31" s="81"/>
      <c r="BJ31" s="81"/>
      <c r="BK31" s="81"/>
      <c r="BL31" s="81"/>
      <c r="BM31" s="82"/>
      <c r="BN31" s="78">
        <f t="shared" si="0"/>
        <v>-0.436329</v>
      </c>
      <c r="BO31" s="78"/>
      <c r="BP31" s="78"/>
      <c r="BQ31" s="78"/>
      <c r="BR31" s="78"/>
      <c r="BS31" s="78"/>
      <c r="BT31" s="77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88"/>
      <c r="CS31" s="89"/>
      <c r="CT31" s="89"/>
      <c r="CU31" s="89"/>
      <c r="CV31" s="89"/>
      <c r="CW31" s="90"/>
    </row>
    <row r="32" spans="3:101" s="17" customFormat="1" ht="15.75">
      <c r="C32" s="83" t="s">
        <v>178</v>
      </c>
      <c r="D32" s="83"/>
      <c r="E32" s="83"/>
      <c r="F32" s="67" t="s">
        <v>160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6">
        <v>2020</v>
      </c>
      <c r="R32" s="66"/>
      <c r="S32" s="66"/>
      <c r="T32" s="66"/>
      <c r="U32" s="66"/>
      <c r="V32" s="66"/>
      <c r="W32" s="66"/>
      <c r="X32" s="72">
        <v>2020</v>
      </c>
      <c r="Y32" s="73"/>
      <c r="Z32" s="73"/>
      <c r="AA32" s="73"/>
      <c r="AB32" s="73"/>
      <c r="AC32" s="74"/>
      <c r="AD32" s="72"/>
      <c r="AE32" s="73"/>
      <c r="AF32" s="73"/>
      <c r="AG32" s="73"/>
      <c r="AH32" s="73"/>
      <c r="AI32" s="74"/>
      <c r="AJ32" s="68"/>
      <c r="AK32" s="68"/>
      <c r="AL32" s="68"/>
      <c r="AM32" s="68"/>
      <c r="AN32" s="68"/>
      <c r="AO32" s="68"/>
      <c r="AP32" s="78">
        <v>0.66</v>
      </c>
      <c r="AQ32" s="78"/>
      <c r="AR32" s="78"/>
      <c r="AS32" s="78"/>
      <c r="AT32" s="78"/>
      <c r="AU32" s="78"/>
      <c r="AV32" s="53"/>
      <c r="AW32" s="53"/>
      <c r="AX32" s="53"/>
      <c r="AY32" s="53"/>
      <c r="AZ32" s="53"/>
      <c r="BA32" s="53"/>
      <c r="BB32" s="78">
        <v>0.66</v>
      </c>
      <c r="BC32" s="78"/>
      <c r="BD32" s="78"/>
      <c r="BE32" s="78"/>
      <c r="BF32" s="78"/>
      <c r="BG32" s="78"/>
      <c r="BH32" s="69"/>
      <c r="BI32" s="70"/>
      <c r="BJ32" s="70"/>
      <c r="BK32" s="70"/>
      <c r="BL32" s="70"/>
      <c r="BM32" s="71"/>
      <c r="BN32" s="78">
        <f t="shared" si="0"/>
        <v>-0.66</v>
      </c>
      <c r="BO32" s="78"/>
      <c r="BP32" s="78"/>
      <c r="BQ32" s="78"/>
      <c r="BR32" s="78"/>
      <c r="BS32" s="78"/>
      <c r="BT32" s="77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88"/>
      <c r="CS32" s="89"/>
      <c r="CT32" s="89"/>
      <c r="CU32" s="89"/>
      <c r="CV32" s="89"/>
      <c r="CW32" s="90"/>
    </row>
    <row r="33" spans="3:101" s="17" customFormat="1" ht="15.75">
      <c r="C33" s="83" t="s">
        <v>179</v>
      </c>
      <c r="D33" s="83"/>
      <c r="E33" s="83"/>
      <c r="F33" s="67" t="s">
        <v>181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6">
        <v>2020</v>
      </c>
      <c r="R33" s="66"/>
      <c r="S33" s="66"/>
      <c r="T33" s="66"/>
      <c r="U33" s="66"/>
      <c r="V33" s="66"/>
      <c r="W33" s="66"/>
      <c r="X33" s="72">
        <v>2020</v>
      </c>
      <c r="Y33" s="73"/>
      <c r="Z33" s="73"/>
      <c r="AA33" s="73"/>
      <c r="AB33" s="73"/>
      <c r="AC33" s="74"/>
      <c r="AD33" s="72"/>
      <c r="AE33" s="73"/>
      <c r="AF33" s="73"/>
      <c r="AG33" s="73"/>
      <c r="AH33" s="73"/>
      <c r="AI33" s="74"/>
      <c r="AJ33" s="68"/>
      <c r="AK33" s="68"/>
      <c r="AL33" s="68"/>
      <c r="AM33" s="68"/>
      <c r="AN33" s="68"/>
      <c r="AO33" s="68"/>
      <c r="AP33" s="78">
        <v>1.76</v>
      </c>
      <c r="AQ33" s="78"/>
      <c r="AR33" s="78"/>
      <c r="AS33" s="78"/>
      <c r="AT33" s="78"/>
      <c r="AU33" s="78"/>
      <c r="AV33" s="53"/>
      <c r="AW33" s="53"/>
      <c r="AX33" s="53"/>
      <c r="AY33" s="53"/>
      <c r="AZ33" s="53"/>
      <c r="BA33" s="53"/>
      <c r="BB33" s="78">
        <v>1.76</v>
      </c>
      <c r="BC33" s="78"/>
      <c r="BD33" s="78"/>
      <c r="BE33" s="78"/>
      <c r="BF33" s="78"/>
      <c r="BG33" s="78"/>
      <c r="BH33" s="69">
        <v>0.020380000000000002</v>
      </c>
      <c r="BI33" s="70"/>
      <c r="BJ33" s="70"/>
      <c r="BK33" s="70"/>
      <c r="BL33" s="70"/>
      <c r="BM33" s="71"/>
      <c r="BN33" s="78">
        <f t="shared" si="0"/>
        <v>-1.73962</v>
      </c>
      <c r="BO33" s="78"/>
      <c r="BP33" s="78"/>
      <c r="BQ33" s="78"/>
      <c r="BR33" s="78"/>
      <c r="BS33" s="78"/>
      <c r="BT33" s="77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88"/>
      <c r="CS33" s="89"/>
      <c r="CT33" s="89"/>
      <c r="CU33" s="89"/>
      <c r="CV33" s="89"/>
      <c r="CW33" s="90"/>
    </row>
    <row r="34" spans="3:101" s="17" customFormat="1" ht="35.25" customHeight="1">
      <c r="C34" s="83" t="s">
        <v>180</v>
      </c>
      <c r="D34" s="83"/>
      <c r="E34" s="83"/>
      <c r="F34" s="67" t="s">
        <v>323</v>
      </c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6">
        <v>2020</v>
      </c>
      <c r="R34" s="66"/>
      <c r="S34" s="66"/>
      <c r="T34" s="66"/>
      <c r="U34" s="66"/>
      <c r="V34" s="66"/>
      <c r="W34" s="66"/>
      <c r="X34" s="72">
        <v>2020</v>
      </c>
      <c r="Y34" s="73"/>
      <c r="Z34" s="73"/>
      <c r="AA34" s="73"/>
      <c r="AB34" s="73"/>
      <c r="AC34" s="74"/>
      <c r="AD34" s="72">
        <v>2020</v>
      </c>
      <c r="AE34" s="73"/>
      <c r="AF34" s="73"/>
      <c r="AG34" s="73"/>
      <c r="AH34" s="73"/>
      <c r="AI34" s="74"/>
      <c r="AJ34" s="68">
        <v>100</v>
      </c>
      <c r="AK34" s="68"/>
      <c r="AL34" s="68"/>
      <c r="AM34" s="68"/>
      <c r="AN34" s="68"/>
      <c r="AO34" s="68"/>
      <c r="AP34" s="78">
        <v>6.165</v>
      </c>
      <c r="AQ34" s="78"/>
      <c r="AR34" s="78"/>
      <c r="AS34" s="78"/>
      <c r="AT34" s="78"/>
      <c r="AU34" s="78"/>
      <c r="AV34" s="53"/>
      <c r="AW34" s="53"/>
      <c r="AX34" s="53"/>
      <c r="AY34" s="53"/>
      <c r="AZ34" s="53"/>
      <c r="BA34" s="53"/>
      <c r="BB34" s="78">
        <v>6.165</v>
      </c>
      <c r="BC34" s="78"/>
      <c r="BD34" s="78"/>
      <c r="BE34" s="78"/>
      <c r="BF34" s="78"/>
      <c r="BG34" s="78"/>
      <c r="BH34" s="69">
        <f>0.00855+0.012456+0.0361988+0.007612+1.74082577+0.74252348</f>
        <v>2.54816605</v>
      </c>
      <c r="BI34" s="70"/>
      <c r="BJ34" s="70"/>
      <c r="BK34" s="70"/>
      <c r="BL34" s="70"/>
      <c r="BM34" s="71"/>
      <c r="BN34" s="78">
        <v>0</v>
      </c>
      <c r="BO34" s="78"/>
      <c r="BP34" s="78"/>
      <c r="BQ34" s="78"/>
      <c r="BR34" s="78"/>
      <c r="BS34" s="78"/>
      <c r="BT34" s="53">
        <f>BZ34+CF34+CL34</f>
        <v>-3.68165075</v>
      </c>
      <c r="BU34" s="53"/>
      <c r="BV34" s="53"/>
      <c r="BW34" s="53"/>
      <c r="BX34" s="53"/>
      <c r="BY34" s="53"/>
      <c r="BZ34" s="53">
        <f>1.972938+0.846409-BB34</f>
        <v>-3.345653</v>
      </c>
      <c r="CA34" s="53"/>
      <c r="CB34" s="53"/>
      <c r="CC34" s="53"/>
      <c r="CD34" s="53"/>
      <c r="CE34" s="53"/>
      <c r="CF34" s="53">
        <f>0.761223-0.846409+1.7756442-1.972938</f>
        <v>-0.28247980000000017</v>
      </c>
      <c r="CG34" s="53"/>
      <c r="CH34" s="53"/>
      <c r="CI34" s="53"/>
      <c r="CJ34" s="53"/>
      <c r="CK34" s="53"/>
      <c r="CL34" s="53">
        <f>0.74252348-0.761223+1.74082577-1.7756442</f>
        <v>-0.053517949999999814</v>
      </c>
      <c r="CM34" s="53"/>
      <c r="CN34" s="53"/>
      <c r="CO34" s="53"/>
      <c r="CP34" s="53"/>
      <c r="CQ34" s="53"/>
      <c r="CR34" s="46" t="s">
        <v>326</v>
      </c>
      <c r="CS34" s="134"/>
      <c r="CT34" s="134"/>
      <c r="CU34" s="134"/>
      <c r="CV34" s="134"/>
      <c r="CW34" s="135"/>
    </row>
    <row r="35" spans="3:101" s="17" customFormat="1" ht="15.75">
      <c r="C35" s="83" t="s">
        <v>182</v>
      </c>
      <c r="D35" s="83"/>
      <c r="E35" s="83"/>
      <c r="F35" s="67" t="s">
        <v>161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6">
        <v>2020</v>
      </c>
      <c r="R35" s="66"/>
      <c r="S35" s="66"/>
      <c r="T35" s="66"/>
      <c r="U35" s="66"/>
      <c r="V35" s="66"/>
      <c r="W35" s="66"/>
      <c r="X35" s="72">
        <v>2020</v>
      </c>
      <c r="Y35" s="73"/>
      <c r="Z35" s="73"/>
      <c r="AA35" s="73"/>
      <c r="AB35" s="73"/>
      <c r="AC35" s="74"/>
      <c r="AD35" s="72"/>
      <c r="AE35" s="73"/>
      <c r="AF35" s="73"/>
      <c r="AG35" s="73"/>
      <c r="AH35" s="73"/>
      <c r="AI35" s="74"/>
      <c r="AJ35" s="68"/>
      <c r="AK35" s="68"/>
      <c r="AL35" s="68"/>
      <c r="AM35" s="68"/>
      <c r="AN35" s="68"/>
      <c r="AO35" s="68"/>
      <c r="AP35" s="78">
        <v>1.1</v>
      </c>
      <c r="AQ35" s="78"/>
      <c r="AR35" s="78"/>
      <c r="AS35" s="78"/>
      <c r="AT35" s="78"/>
      <c r="AU35" s="78"/>
      <c r="AV35" s="53"/>
      <c r="AW35" s="53"/>
      <c r="AX35" s="53"/>
      <c r="AY35" s="53"/>
      <c r="AZ35" s="53"/>
      <c r="BA35" s="53"/>
      <c r="BB35" s="78">
        <v>1.1</v>
      </c>
      <c r="BC35" s="78"/>
      <c r="BD35" s="78"/>
      <c r="BE35" s="78"/>
      <c r="BF35" s="78"/>
      <c r="BG35" s="78"/>
      <c r="BH35" s="69">
        <f>0.007731+0.00830004</f>
        <v>0.01603104</v>
      </c>
      <c r="BI35" s="70"/>
      <c r="BJ35" s="70"/>
      <c r="BK35" s="70"/>
      <c r="BL35" s="70"/>
      <c r="BM35" s="71"/>
      <c r="BN35" s="78">
        <f t="shared" si="0"/>
        <v>-1.08396896</v>
      </c>
      <c r="BO35" s="78"/>
      <c r="BP35" s="78"/>
      <c r="BQ35" s="78"/>
      <c r="BR35" s="78"/>
      <c r="BS35" s="78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96"/>
      <c r="CS35" s="97"/>
      <c r="CT35" s="97"/>
      <c r="CU35" s="97"/>
      <c r="CV35" s="97"/>
      <c r="CW35" s="98"/>
    </row>
    <row r="36" spans="3:101" s="17" customFormat="1" ht="23.25" customHeight="1">
      <c r="C36" s="83" t="s">
        <v>183</v>
      </c>
      <c r="D36" s="83"/>
      <c r="E36" s="83"/>
      <c r="F36" s="67" t="s">
        <v>162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6">
        <v>2020</v>
      </c>
      <c r="R36" s="66"/>
      <c r="S36" s="66"/>
      <c r="T36" s="66"/>
      <c r="U36" s="66"/>
      <c r="V36" s="66"/>
      <c r="W36" s="66"/>
      <c r="X36" s="72">
        <v>2020</v>
      </c>
      <c r="Y36" s="73"/>
      <c r="Z36" s="73"/>
      <c r="AA36" s="73"/>
      <c r="AB36" s="73"/>
      <c r="AC36" s="74"/>
      <c r="AD36" s="72">
        <v>2020</v>
      </c>
      <c r="AE36" s="73"/>
      <c r="AF36" s="73"/>
      <c r="AG36" s="73"/>
      <c r="AH36" s="73"/>
      <c r="AI36" s="74"/>
      <c r="AJ36" s="68">
        <v>100</v>
      </c>
      <c r="AK36" s="68"/>
      <c r="AL36" s="68"/>
      <c r="AM36" s="68"/>
      <c r="AN36" s="68"/>
      <c r="AO36" s="68"/>
      <c r="AP36" s="78">
        <v>3.08</v>
      </c>
      <c r="AQ36" s="78"/>
      <c r="AR36" s="78"/>
      <c r="AS36" s="78"/>
      <c r="AT36" s="78"/>
      <c r="AU36" s="78"/>
      <c r="AV36" s="53"/>
      <c r="AW36" s="53"/>
      <c r="AX36" s="53"/>
      <c r="AY36" s="53"/>
      <c r="AZ36" s="53"/>
      <c r="BA36" s="53"/>
      <c r="BB36" s="78">
        <v>3.08</v>
      </c>
      <c r="BC36" s="78"/>
      <c r="BD36" s="78"/>
      <c r="BE36" s="78"/>
      <c r="BF36" s="78"/>
      <c r="BG36" s="78"/>
      <c r="BH36" s="69">
        <v>1.523516</v>
      </c>
      <c r="BI36" s="70"/>
      <c r="BJ36" s="70"/>
      <c r="BK36" s="70"/>
      <c r="BL36" s="70"/>
      <c r="BM36" s="71"/>
      <c r="BN36" s="78">
        <v>0</v>
      </c>
      <c r="BO36" s="78"/>
      <c r="BP36" s="78"/>
      <c r="BQ36" s="78"/>
      <c r="BR36" s="78"/>
      <c r="BS36" s="78"/>
      <c r="BT36" s="53">
        <f>SUM(BH36-BB36)</f>
        <v>-1.556484</v>
      </c>
      <c r="BU36" s="53"/>
      <c r="BV36" s="53"/>
      <c r="BW36" s="53"/>
      <c r="BX36" s="53"/>
      <c r="BY36" s="53"/>
      <c r="BZ36" s="53">
        <f>1.54-3.08</f>
        <v>-1.54</v>
      </c>
      <c r="CA36" s="53"/>
      <c r="CB36" s="53"/>
      <c r="CC36" s="53"/>
      <c r="CD36" s="53"/>
      <c r="CE36" s="53"/>
      <c r="CF36" s="53">
        <v>0</v>
      </c>
      <c r="CG36" s="53"/>
      <c r="CH36" s="53"/>
      <c r="CI36" s="53"/>
      <c r="CJ36" s="53"/>
      <c r="CK36" s="53"/>
      <c r="CL36" s="53">
        <f>1.524-1.54</f>
        <v>-0.016000000000000014</v>
      </c>
      <c r="CM36" s="53"/>
      <c r="CN36" s="53"/>
      <c r="CO36" s="53"/>
      <c r="CP36" s="53"/>
      <c r="CQ36" s="53"/>
      <c r="CR36" s="46" t="s">
        <v>325</v>
      </c>
      <c r="CS36" s="134"/>
      <c r="CT36" s="134"/>
      <c r="CU36" s="134"/>
      <c r="CV36" s="134"/>
      <c r="CW36" s="135"/>
    </row>
    <row r="37" spans="3:101" s="17" customFormat="1" ht="15.75">
      <c r="C37" s="83" t="s">
        <v>184</v>
      </c>
      <c r="D37" s="83"/>
      <c r="E37" s="83"/>
      <c r="F37" s="67" t="s">
        <v>163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6">
        <v>2020</v>
      </c>
      <c r="R37" s="66"/>
      <c r="S37" s="66"/>
      <c r="T37" s="66"/>
      <c r="U37" s="66"/>
      <c r="V37" s="66"/>
      <c r="W37" s="66"/>
      <c r="X37" s="72">
        <v>2020</v>
      </c>
      <c r="Y37" s="73"/>
      <c r="Z37" s="73"/>
      <c r="AA37" s="73"/>
      <c r="AB37" s="73"/>
      <c r="AC37" s="74"/>
      <c r="AD37" s="72"/>
      <c r="AE37" s="73"/>
      <c r="AF37" s="73"/>
      <c r="AG37" s="73"/>
      <c r="AH37" s="73"/>
      <c r="AI37" s="74"/>
      <c r="AJ37" s="68"/>
      <c r="AK37" s="68"/>
      <c r="AL37" s="68"/>
      <c r="AM37" s="68"/>
      <c r="AN37" s="68"/>
      <c r="AO37" s="68"/>
      <c r="AP37" s="78">
        <v>1.32</v>
      </c>
      <c r="AQ37" s="78"/>
      <c r="AR37" s="78"/>
      <c r="AS37" s="78"/>
      <c r="AT37" s="78"/>
      <c r="AU37" s="78"/>
      <c r="AV37" s="53"/>
      <c r="AW37" s="53"/>
      <c r="AX37" s="53"/>
      <c r="AY37" s="53"/>
      <c r="AZ37" s="53"/>
      <c r="BA37" s="53"/>
      <c r="BB37" s="78">
        <v>1.32</v>
      </c>
      <c r="BC37" s="78"/>
      <c r="BD37" s="78"/>
      <c r="BE37" s="78"/>
      <c r="BF37" s="78"/>
      <c r="BG37" s="78"/>
      <c r="BH37" s="69">
        <f>0.008069+0.01037505</f>
        <v>0.01844405</v>
      </c>
      <c r="BI37" s="70"/>
      <c r="BJ37" s="70"/>
      <c r="BK37" s="70"/>
      <c r="BL37" s="70"/>
      <c r="BM37" s="71"/>
      <c r="BN37" s="78">
        <f t="shared" si="0"/>
        <v>-1.30155595</v>
      </c>
      <c r="BO37" s="78"/>
      <c r="BP37" s="78"/>
      <c r="BQ37" s="78"/>
      <c r="BR37" s="78"/>
      <c r="BS37" s="78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88"/>
      <c r="CS37" s="89"/>
      <c r="CT37" s="89"/>
      <c r="CU37" s="89"/>
      <c r="CV37" s="89"/>
      <c r="CW37" s="90"/>
    </row>
    <row r="38" spans="3:101" s="17" customFormat="1" ht="15.75" customHeight="1">
      <c r="C38" s="83" t="s">
        <v>185</v>
      </c>
      <c r="D38" s="83"/>
      <c r="E38" s="83"/>
      <c r="F38" s="67" t="s">
        <v>164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6">
        <v>2020</v>
      </c>
      <c r="R38" s="66"/>
      <c r="S38" s="66"/>
      <c r="T38" s="66"/>
      <c r="U38" s="66"/>
      <c r="V38" s="66"/>
      <c r="W38" s="66"/>
      <c r="X38" s="72">
        <v>2020</v>
      </c>
      <c r="Y38" s="73"/>
      <c r="Z38" s="73"/>
      <c r="AA38" s="73"/>
      <c r="AB38" s="73"/>
      <c r="AC38" s="74"/>
      <c r="AD38" s="72">
        <v>2020</v>
      </c>
      <c r="AE38" s="73"/>
      <c r="AF38" s="73"/>
      <c r="AG38" s="73"/>
      <c r="AH38" s="73"/>
      <c r="AI38" s="74"/>
      <c r="AJ38" s="68">
        <v>100</v>
      </c>
      <c r="AK38" s="68"/>
      <c r="AL38" s="68"/>
      <c r="AM38" s="68"/>
      <c r="AN38" s="68"/>
      <c r="AO38" s="68"/>
      <c r="AP38" s="78">
        <v>1.22</v>
      </c>
      <c r="AQ38" s="78"/>
      <c r="AR38" s="78"/>
      <c r="AS38" s="78"/>
      <c r="AT38" s="78"/>
      <c r="AU38" s="78"/>
      <c r="AV38" s="53"/>
      <c r="AW38" s="53"/>
      <c r="AX38" s="53"/>
      <c r="AY38" s="53"/>
      <c r="AZ38" s="53"/>
      <c r="BA38" s="53"/>
      <c r="BB38" s="78">
        <v>1.22</v>
      </c>
      <c r="BC38" s="78"/>
      <c r="BD38" s="78"/>
      <c r="BE38" s="78"/>
      <c r="BF38" s="78"/>
      <c r="BG38" s="78"/>
      <c r="BH38" s="69">
        <f>0.00484169+0.607362</f>
        <v>0.61220369</v>
      </c>
      <c r="BI38" s="70"/>
      <c r="BJ38" s="70"/>
      <c r="BK38" s="70"/>
      <c r="BL38" s="70"/>
      <c r="BM38" s="71"/>
      <c r="BN38" s="78">
        <v>0</v>
      </c>
      <c r="BO38" s="78"/>
      <c r="BP38" s="78"/>
      <c r="BQ38" s="78"/>
      <c r="BR38" s="78"/>
      <c r="BS38" s="78"/>
      <c r="BT38" s="53">
        <f>BZ38+CF38+CL38</f>
        <v>-0.612638</v>
      </c>
      <c r="BU38" s="53"/>
      <c r="BV38" s="53"/>
      <c r="BW38" s="53"/>
      <c r="BX38" s="53"/>
      <c r="BY38" s="53"/>
      <c r="BZ38" s="53">
        <f>0.583174-BB38</f>
        <v>-0.636826</v>
      </c>
      <c r="CA38" s="53"/>
      <c r="CB38" s="53"/>
      <c r="CC38" s="53"/>
      <c r="CD38" s="53"/>
      <c r="CE38" s="53"/>
      <c r="CF38" s="53">
        <v>0</v>
      </c>
      <c r="CG38" s="53"/>
      <c r="CH38" s="53"/>
      <c r="CI38" s="53"/>
      <c r="CJ38" s="53"/>
      <c r="CK38" s="53"/>
      <c r="CL38" s="53">
        <f>0.607362-0.583174</f>
        <v>0.024187999999999987</v>
      </c>
      <c r="CM38" s="53"/>
      <c r="CN38" s="53"/>
      <c r="CO38" s="53"/>
      <c r="CP38" s="53"/>
      <c r="CQ38" s="53"/>
      <c r="CR38" s="46" t="s">
        <v>325</v>
      </c>
      <c r="CS38" s="47"/>
      <c r="CT38" s="47"/>
      <c r="CU38" s="47"/>
      <c r="CV38" s="47"/>
      <c r="CW38" s="48"/>
    </row>
    <row r="39" spans="3:101" s="17" customFormat="1" ht="15.75" customHeight="1">
      <c r="C39" s="83" t="s">
        <v>186</v>
      </c>
      <c r="D39" s="83"/>
      <c r="E39" s="83"/>
      <c r="F39" s="67" t="s">
        <v>165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6">
        <v>2020</v>
      </c>
      <c r="R39" s="66"/>
      <c r="S39" s="66"/>
      <c r="T39" s="66"/>
      <c r="U39" s="66"/>
      <c r="V39" s="66"/>
      <c r="W39" s="66"/>
      <c r="X39" s="72">
        <v>2020</v>
      </c>
      <c r="Y39" s="73"/>
      <c r="Z39" s="73"/>
      <c r="AA39" s="73"/>
      <c r="AB39" s="73"/>
      <c r="AC39" s="74"/>
      <c r="AD39" s="72">
        <v>2020</v>
      </c>
      <c r="AE39" s="73"/>
      <c r="AF39" s="73"/>
      <c r="AG39" s="73"/>
      <c r="AH39" s="73"/>
      <c r="AI39" s="74"/>
      <c r="AJ39" s="68">
        <v>100</v>
      </c>
      <c r="AK39" s="68"/>
      <c r="AL39" s="68"/>
      <c r="AM39" s="68"/>
      <c r="AN39" s="68"/>
      <c r="AO39" s="68"/>
      <c r="AP39" s="78">
        <v>0.675</v>
      </c>
      <c r="AQ39" s="78"/>
      <c r="AR39" s="78"/>
      <c r="AS39" s="78"/>
      <c r="AT39" s="78"/>
      <c r="AU39" s="78"/>
      <c r="AV39" s="53"/>
      <c r="AW39" s="53"/>
      <c r="AX39" s="53"/>
      <c r="AY39" s="53"/>
      <c r="AZ39" s="53"/>
      <c r="BA39" s="53"/>
      <c r="BB39" s="78">
        <v>0.675</v>
      </c>
      <c r="BC39" s="78"/>
      <c r="BD39" s="78"/>
      <c r="BE39" s="78"/>
      <c r="BF39" s="78"/>
      <c r="BG39" s="78"/>
      <c r="BH39" s="69">
        <f>0.00415+0.331903</f>
        <v>0.336053</v>
      </c>
      <c r="BI39" s="70"/>
      <c r="BJ39" s="70"/>
      <c r="BK39" s="70"/>
      <c r="BL39" s="70"/>
      <c r="BM39" s="71"/>
      <c r="BN39" s="78">
        <v>0</v>
      </c>
      <c r="BO39" s="78"/>
      <c r="BP39" s="78"/>
      <c r="BQ39" s="78"/>
      <c r="BR39" s="78"/>
      <c r="BS39" s="78"/>
      <c r="BT39" s="53">
        <f>BZ39+CF39+CL39</f>
        <v>-0.34309700000000004</v>
      </c>
      <c r="BU39" s="53"/>
      <c r="BV39" s="53"/>
      <c r="BW39" s="53"/>
      <c r="BX39" s="53"/>
      <c r="BY39" s="53"/>
      <c r="BZ39" s="53">
        <f>0.338541-BB39</f>
        <v>-0.33645900000000006</v>
      </c>
      <c r="CA39" s="53"/>
      <c r="CB39" s="53"/>
      <c r="CC39" s="53"/>
      <c r="CD39" s="53"/>
      <c r="CE39" s="53"/>
      <c r="CF39" s="53">
        <v>0</v>
      </c>
      <c r="CG39" s="53"/>
      <c r="CH39" s="53"/>
      <c r="CI39" s="53"/>
      <c r="CJ39" s="53"/>
      <c r="CK39" s="53"/>
      <c r="CL39" s="53">
        <f>0.331903-0.338541</f>
        <v>-0.006637999999999977</v>
      </c>
      <c r="CM39" s="53"/>
      <c r="CN39" s="53"/>
      <c r="CO39" s="53"/>
      <c r="CP39" s="53"/>
      <c r="CQ39" s="53"/>
      <c r="CR39" s="175"/>
      <c r="CS39" s="176"/>
      <c r="CT39" s="176"/>
      <c r="CU39" s="176"/>
      <c r="CV39" s="176"/>
      <c r="CW39" s="177"/>
    </row>
    <row r="40" spans="3:101" s="17" customFormat="1" ht="15.75" customHeight="1">
      <c r="C40" s="83" t="s">
        <v>187</v>
      </c>
      <c r="D40" s="83"/>
      <c r="E40" s="83"/>
      <c r="F40" s="67" t="s">
        <v>166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6">
        <v>2020</v>
      </c>
      <c r="R40" s="66"/>
      <c r="S40" s="66"/>
      <c r="T40" s="66"/>
      <c r="U40" s="66"/>
      <c r="V40" s="66"/>
      <c r="W40" s="66"/>
      <c r="X40" s="72">
        <v>2020</v>
      </c>
      <c r="Y40" s="73"/>
      <c r="Z40" s="73"/>
      <c r="AA40" s="73"/>
      <c r="AB40" s="73"/>
      <c r="AC40" s="74"/>
      <c r="AD40" s="72">
        <v>2020</v>
      </c>
      <c r="AE40" s="73"/>
      <c r="AF40" s="73"/>
      <c r="AG40" s="73"/>
      <c r="AH40" s="73"/>
      <c r="AI40" s="74"/>
      <c r="AJ40" s="68">
        <v>100</v>
      </c>
      <c r="AK40" s="68"/>
      <c r="AL40" s="68"/>
      <c r="AM40" s="68"/>
      <c r="AN40" s="68"/>
      <c r="AO40" s="68"/>
      <c r="AP40" s="78">
        <v>1.63</v>
      </c>
      <c r="AQ40" s="78"/>
      <c r="AR40" s="78"/>
      <c r="AS40" s="78"/>
      <c r="AT40" s="78"/>
      <c r="AU40" s="78"/>
      <c r="AV40" s="53"/>
      <c r="AW40" s="53"/>
      <c r="AX40" s="53"/>
      <c r="AY40" s="53"/>
      <c r="AZ40" s="53"/>
      <c r="BA40" s="53"/>
      <c r="BB40" s="78">
        <v>1.63</v>
      </c>
      <c r="BC40" s="78"/>
      <c r="BD40" s="78"/>
      <c r="BE40" s="78"/>
      <c r="BF40" s="78"/>
      <c r="BG40" s="78"/>
      <c r="BH40" s="69">
        <f>0.01037505+0.694863</f>
        <v>0.7052380500000001</v>
      </c>
      <c r="BI40" s="70"/>
      <c r="BJ40" s="70"/>
      <c r="BK40" s="70"/>
      <c r="BL40" s="70"/>
      <c r="BM40" s="71"/>
      <c r="BN40" s="78">
        <v>0</v>
      </c>
      <c r="BO40" s="78"/>
      <c r="BP40" s="78"/>
      <c r="BQ40" s="78"/>
      <c r="BR40" s="78"/>
      <c r="BS40" s="78"/>
      <c r="BT40" s="53">
        <f>BZ40+CF40+CL40</f>
        <v>-0.9351369999999999</v>
      </c>
      <c r="BU40" s="53"/>
      <c r="BV40" s="53"/>
      <c r="BW40" s="53"/>
      <c r="BX40" s="53"/>
      <c r="BY40" s="53"/>
      <c r="BZ40" s="53">
        <f>0.721977-BB40</f>
        <v>-0.9080229999999999</v>
      </c>
      <c r="CA40" s="53"/>
      <c r="CB40" s="53"/>
      <c r="CC40" s="53"/>
      <c r="CD40" s="53"/>
      <c r="CE40" s="53"/>
      <c r="CF40" s="53">
        <v>0</v>
      </c>
      <c r="CG40" s="53"/>
      <c r="CH40" s="53"/>
      <c r="CI40" s="53"/>
      <c r="CJ40" s="53"/>
      <c r="CK40" s="53"/>
      <c r="CL40" s="53">
        <f>0.694863-0.721977</f>
        <v>-0.02711399999999997</v>
      </c>
      <c r="CM40" s="53"/>
      <c r="CN40" s="53"/>
      <c r="CO40" s="53"/>
      <c r="CP40" s="53"/>
      <c r="CQ40" s="53"/>
      <c r="CR40" s="175"/>
      <c r="CS40" s="176"/>
      <c r="CT40" s="176"/>
      <c r="CU40" s="176"/>
      <c r="CV40" s="176"/>
      <c r="CW40" s="177"/>
    </row>
    <row r="41" spans="3:101" s="17" customFormat="1" ht="15.75" customHeight="1">
      <c r="C41" s="83" t="s">
        <v>188</v>
      </c>
      <c r="D41" s="83"/>
      <c r="E41" s="83"/>
      <c r="F41" s="67" t="s">
        <v>167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6">
        <v>2020</v>
      </c>
      <c r="R41" s="66"/>
      <c r="S41" s="66"/>
      <c r="T41" s="66"/>
      <c r="U41" s="66"/>
      <c r="V41" s="66"/>
      <c r="W41" s="66"/>
      <c r="X41" s="72">
        <v>2020</v>
      </c>
      <c r="Y41" s="73"/>
      <c r="Z41" s="73"/>
      <c r="AA41" s="73"/>
      <c r="AB41" s="73"/>
      <c r="AC41" s="74"/>
      <c r="AD41" s="72">
        <v>2020</v>
      </c>
      <c r="AE41" s="73"/>
      <c r="AF41" s="73"/>
      <c r="AG41" s="73"/>
      <c r="AH41" s="73"/>
      <c r="AI41" s="74"/>
      <c r="AJ41" s="68">
        <v>100</v>
      </c>
      <c r="AK41" s="68"/>
      <c r="AL41" s="68"/>
      <c r="AM41" s="68"/>
      <c r="AN41" s="68"/>
      <c r="AO41" s="68"/>
      <c r="AP41" s="78">
        <v>0.48</v>
      </c>
      <c r="AQ41" s="78"/>
      <c r="AR41" s="78"/>
      <c r="AS41" s="78"/>
      <c r="AT41" s="78"/>
      <c r="AU41" s="78"/>
      <c r="AV41" s="53"/>
      <c r="AW41" s="53"/>
      <c r="AX41" s="53"/>
      <c r="AY41" s="53"/>
      <c r="AZ41" s="53"/>
      <c r="BA41" s="53"/>
      <c r="BB41" s="78">
        <v>0.48</v>
      </c>
      <c r="BC41" s="78"/>
      <c r="BD41" s="78"/>
      <c r="BE41" s="78"/>
      <c r="BF41" s="78"/>
      <c r="BG41" s="78"/>
      <c r="BH41" s="69">
        <f>0.00345835+0.24375</f>
        <v>0.24720835</v>
      </c>
      <c r="BI41" s="70"/>
      <c r="BJ41" s="70"/>
      <c r="BK41" s="70"/>
      <c r="BL41" s="70"/>
      <c r="BM41" s="71"/>
      <c r="BN41" s="78">
        <v>0</v>
      </c>
      <c r="BO41" s="78"/>
      <c r="BP41" s="78"/>
      <c r="BQ41" s="78"/>
      <c r="BR41" s="78"/>
      <c r="BS41" s="78"/>
      <c r="BT41" s="53">
        <f>BZ41+CF41+CL41</f>
        <v>-0.23625</v>
      </c>
      <c r="BU41" s="53"/>
      <c r="BV41" s="53"/>
      <c r="BW41" s="53"/>
      <c r="BX41" s="53"/>
      <c r="BY41" s="53"/>
      <c r="BZ41" s="53">
        <f>0.267896-BB41</f>
        <v>-0.21210399999999996</v>
      </c>
      <c r="CA41" s="53"/>
      <c r="CB41" s="53"/>
      <c r="CC41" s="53"/>
      <c r="CD41" s="53"/>
      <c r="CE41" s="53"/>
      <c r="CF41" s="53">
        <v>0</v>
      </c>
      <c r="CG41" s="53"/>
      <c r="CH41" s="53"/>
      <c r="CI41" s="53"/>
      <c r="CJ41" s="53"/>
      <c r="CK41" s="53"/>
      <c r="CL41" s="53">
        <f>0.24375-0.267896</f>
        <v>-0.02414600000000003</v>
      </c>
      <c r="CM41" s="53"/>
      <c r="CN41" s="53"/>
      <c r="CO41" s="53"/>
      <c r="CP41" s="53"/>
      <c r="CQ41" s="53"/>
      <c r="CR41" s="175"/>
      <c r="CS41" s="176"/>
      <c r="CT41" s="176"/>
      <c r="CU41" s="176"/>
      <c r="CV41" s="176"/>
      <c r="CW41" s="177"/>
    </row>
    <row r="42" spans="3:101" s="17" customFormat="1" ht="15.75" customHeight="1">
      <c r="C42" s="83" t="s">
        <v>189</v>
      </c>
      <c r="D42" s="83"/>
      <c r="E42" s="83"/>
      <c r="F42" s="67" t="s">
        <v>168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6">
        <v>2020</v>
      </c>
      <c r="R42" s="66"/>
      <c r="S42" s="66"/>
      <c r="T42" s="66"/>
      <c r="U42" s="66"/>
      <c r="V42" s="66"/>
      <c r="W42" s="66"/>
      <c r="X42" s="72">
        <v>2020</v>
      </c>
      <c r="Y42" s="73"/>
      <c r="Z42" s="73"/>
      <c r="AA42" s="73"/>
      <c r="AB42" s="73"/>
      <c r="AC42" s="74"/>
      <c r="AD42" s="72">
        <v>2020</v>
      </c>
      <c r="AE42" s="73"/>
      <c r="AF42" s="73"/>
      <c r="AG42" s="73"/>
      <c r="AH42" s="73"/>
      <c r="AI42" s="74"/>
      <c r="AJ42" s="68">
        <v>100</v>
      </c>
      <c r="AK42" s="68"/>
      <c r="AL42" s="68"/>
      <c r="AM42" s="68"/>
      <c r="AN42" s="68"/>
      <c r="AO42" s="68"/>
      <c r="AP42" s="78">
        <v>1.67</v>
      </c>
      <c r="AQ42" s="78"/>
      <c r="AR42" s="78"/>
      <c r="AS42" s="78"/>
      <c r="AT42" s="78"/>
      <c r="AU42" s="78"/>
      <c r="AV42" s="53"/>
      <c r="AW42" s="53"/>
      <c r="AX42" s="53"/>
      <c r="AY42" s="53"/>
      <c r="AZ42" s="53"/>
      <c r="BA42" s="53"/>
      <c r="BB42" s="78">
        <v>1.67</v>
      </c>
      <c r="BC42" s="78"/>
      <c r="BD42" s="78"/>
      <c r="BE42" s="78"/>
      <c r="BF42" s="78"/>
      <c r="BG42" s="78"/>
      <c r="BH42" s="69">
        <f>0.01+0.01314173+0.956621</f>
        <v>0.97976273</v>
      </c>
      <c r="BI42" s="70"/>
      <c r="BJ42" s="70"/>
      <c r="BK42" s="70"/>
      <c r="BL42" s="70"/>
      <c r="BM42" s="71"/>
      <c r="BN42" s="78">
        <v>0</v>
      </c>
      <c r="BO42" s="78"/>
      <c r="BP42" s="78"/>
      <c r="BQ42" s="78"/>
      <c r="BR42" s="78"/>
      <c r="BS42" s="78"/>
      <c r="BT42" s="53">
        <f>BZ42+CF42+CL42</f>
        <v>-0.7133789999999999</v>
      </c>
      <c r="BU42" s="53"/>
      <c r="BV42" s="53"/>
      <c r="BW42" s="53"/>
      <c r="BX42" s="53"/>
      <c r="BY42" s="53"/>
      <c r="BZ42" s="53">
        <f>0.976503-BB42</f>
        <v>-0.6934969999999999</v>
      </c>
      <c r="CA42" s="53"/>
      <c r="CB42" s="53"/>
      <c r="CC42" s="53"/>
      <c r="CD42" s="53"/>
      <c r="CE42" s="53"/>
      <c r="CF42" s="53">
        <v>0</v>
      </c>
      <c r="CG42" s="53"/>
      <c r="CH42" s="53"/>
      <c r="CI42" s="53"/>
      <c r="CJ42" s="53"/>
      <c r="CK42" s="53"/>
      <c r="CL42" s="53">
        <f>0.956621-0.976503</f>
        <v>-0.019881999999999955</v>
      </c>
      <c r="CM42" s="53"/>
      <c r="CN42" s="53"/>
      <c r="CO42" s="53"/>
      <c r="CP42" s="53"/>
      <c r="CQ42" s="53"/>
      <c r="CR42" s="49"/>
      <c r="CS42" s="50"/>
      <c r="CT42" s="50"/>
      <c r="CU42" s="50"/>
      <c r="CV42" s="50"/>
      <c r="CW42" s="51"/>
    </row>
    <row r="43" spans="3:101" s="17" customFormat="1" ht="15.75">
      <c r="C43" s="83" t="s">
        <v>190</v>
      </c>
      <c r="D43" s="83"/>
      <c r="E43" s="83"/>
      <c r="F43" s="67" t="s">
        <v>169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6">
        <v>2020</v>
      </c>
      <c r="R43" s="66"/>
      <c r="S43" s="66"/>
      <c r="T43" s="66"/>
      <c r="U43" s="66"/>
      <c r="V43" s="66"/>
      <c r="W43" s="66"/>
      <c r="X43" s="72">
        <v>2020</v>
      </c>
      <c r="Y43" s="73"/>
      <c r="Z43" s="73"/>
      <c r="AA43" s="73"/>
      <c r="AB43" s="73"/>
      <c r="AC43" s="74"/>
      <c r="AD43" s="72"/>
      <c r="AE43" s="73"/>
      <c r="AF43" s="73"/>
      <c r="AG43" s="73"/>
      <c r="AH43" s="73"/>
      <c r="AI43" s="74"/>
      <c r="AJ43" s="68"/>
      <c r="AK43" s="68"/>
      <c r="AL43" s="68"/>
      <c r="AM43" s="68"/>
      <c r="AN43" s="68"/>
      <c r="AO43" s="68"/>
      <c r="AP43" s="78">
        <v>1.32</v>
      </c>
      <c r="AQ43" s="78"/>
      <c r="AR43" s="78"/>
      <c r="AS43" s="78"/>
      <c r="AT43" s="78"/>
      <c r="AU43" s="78"/>
      <c r="AV43" s="53"/>
      <c r="AW43" s="53"/>
      <c r="AX43" s="53"/>
      <c r="AY43" s="53"/>
      <c r="AZ43" s="53"/>
      <c r="BA43" s="53"/>
      <c r="BB43" s="78">
        <v>1.32</v>
      </c>
      <c r="BC43" s="78"/>
      <c r="BD43" s="78"/>
      <c r="BE43" s="78"/>
      <c r="BF43" s="78"/>
      <c r="BG43" s="78"/>
      <c r="BH43" s="69">
        <v>0.0109</v>
      </c>
      <c r="BI43" s="70"/>
      <c r="BJ43" s="70"/>
      <c r="BK43" s="70"/>
      <c r="BL43" s="70"/>
      <c r="BM43" s="71"/>
      <c r="BN43" s="78">
        <f t="shared" si="0"/>
        <v>-1.3091000000000002</v>
      </c>
      <c r="BO43" s="78"/>
      <c r="BP43" s="78"/>
      <c r="BQ43" s="78"/>
      <c r="BR43" s="78"/>
      <c r="BS43" s="78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88"/>
      <c r="CS43" s="89"/>
      <c r="CT43" s="89"/>
      <c r="CU43" s="89"/>
      <c r="CV43" s="89"/>
      <c r="CW43" s="90"/>
    </row>
    <row r="44" spans="3:101" s="17" customFormat="1" ht="26.25" customHeight="1">
      <c r="C44" s="83" t="s">
        <v>191</v>
      </c>
      <c r="D44" s="83"/>
      <c r="E44" s="83"/>
      <c r="F44" s="67" t="s">
        <v>170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6">
        <v>2020</v>
      </c>
      <c r="R44" s="66"/>
      <c r="S44" s="66"/>
      <c r="T44" s="66"/>
      <c r="U44" s="66"/>
      <c r="V44" s="66"/>
      <c r="W44" s="66"/>
      <c r="X44" s="72">
        <v>2020</v>
      </c>
      <c r="Y44" s="73"/>
      <c r="Z44" s="73"/>
      <c r="AA44" s="73"/>
      <c r="AB44" s="73"/>
      <c r="AC44" s="74"/>
      <c r="AD44" s="72">
        <v>2020</v>
      </c>
      <c r="AE44" s="73"/>
      <c r="AF44" s="73"/>
      <c r="AG44" s="73"/>
      <c r="AH44" s="73"/>
      <c r="AI44" s="74"/>
      <c r="AJ44" s="68">
        <v>100</v>
      </c>
      <c r="AK44" s="68"/>
      <c r="AL44" s="68"/>
      <c r="AM44" s="68"/>
      <c r="AN44" s="68"/>
      <c r="AO44" s="68"/>
      <c r="AP44" s="78">
        <v>1.315</v>
      </c>
      <c r="AQ44" s="78"/>
      <c r="AR44" s="78"/>
      <c r="AS44" s="78"/>
      <c r="AT44" s="78"/>
      <c r="AU44" s="78"/>
      <c r="AV44" s="53"/>
      <c r="AW44" s="53"/>
      <c r="AX44" s="53"/>
      <c r="AY44" s="53"/>
      <c r="AZ44" s="53"/>
      <c r="BA44" s="53"/>
      <c r="BB44" s="78">
        <v>1.315</v>
      </c>
      <c r="BC44" s="78"/>
      <c r="BD44" s="78"/>
      <c r="BE44" s="78"/>
      <c r="BF44" s="78"/>
      <c r="BG44" s="78"/>
      <c r="BH44" s="69">
        <f>0.0037493+0.006228+0.30539</f>
        <v>0.3153673</v>
      </c>
      <c r="BI44" s="70"/>
      <c r="BJ44" s="70"/>
      <c r="BK44" s="70"/>
      <c r="BL44" s="70"/>
      <c r="BM44" s="71"/>
      <c r="BN44" s="78">
        <v>0</v>
      </c>
      <c r="BO44" s="78"/>
      <c r="BP44" s="78"/>
      <c r="BQ44" s="78"/>
      <c r="BR44" s="78"/>
      <c r="BS44" s="78"/>
      <c r="BT44" s="53">
        <f>SUM(BZ44:CQ44)</f>
        <v>-1.00961</v>
      </c>
      <c r="BU44" s="53"/>
      <c r="BV44" s="53"/>
      <c r="BW44" s="53"/>
      <c r="BX44" s="53"/>
      <c r="BY44" s="53"/>
      <c r="BZ44" s="53">
        <f>0.312033-BB44</f>
        <v>-1.002967</v>
      </c>
      <c r="CA44" s="53"/>
      <c r="CB44" s="53"/>
      <c r="CC44" s="53"/>
      <c r="CD44" s="53"/>
      <c r="CE44" s="53"/>
      <c r="CF44" s="53">
        <v>0</v>
      </c>
      <c r="CG44" s="53"/>
      <c r="CH44" s="53"/>
      <c r="CI44" s="53"/>
      <c r="CJ44" s="53"/>
      <c r="CK44" s="53"/>
      <c r="CL44" s="53">
        <f>0.30539-0.312033</f>
        <v>-0.00664300000000001</v>
      </c>
      <c r="CM44" s="53"/>
      <c r="CN44" s="53"/>
      <c r="CO44" s="53"/>
      <c r="CP44" s="53"/>
      <c r="CQ44" s="53"/>
      <c r="CR44" s="106" t="s">
        <v>325</v>
      </c>
      <c r="CS44" s="97"/>
      <c r="CT44" s="97"/>
      <c r="CU44" s="97"/>
      <c r="CV44" s="97"/>
      <c r="CW44" s="98"/>
    </row>
    <row r="45" spans="3:101" s="17" customFormat="1" ht="15.75">
      <c r="C45" s="121" t="s">
        <v>195</v>
      </c>
      <c r="D45" s="122"/>
      <c r="E45" s="123"/>
      <c r="F45" s="124" t="s">
        <v>135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6"/>
      <c r="Q45" s="72"/>
      <c r="R45" s="73"/>
      <c r="S45" s="73"/>
      <c r="T45" s="73"/>
      <c r="U45" s="73"/>
      <c r="V45" s="73"/>
      <c r="W45" s="74"/>
      <c r="X45" s="72"/>
      <c r="Y45" s="73"/>
      <c r="Z45" s="73"/>
      <c r="AA45" s="73"/>
      <c r="AB45" s="73"/>
      <c r="AC45" s="74"/>
      <c r="AD45" s="72"/>
      <c r="AE45" s="73"/>
      <c r="AF45" s="73"/>
      <c r="AG45" s="73"/>
      <c r="AH45" s="73"/>
      <c r="AI45" s="74"/>
      <c r="AJ45" s="72"/>
      <c r="AK45" s="73"/>
      <c r="AL45" s="73"/>
      <c r="AM45" s="73"/>
      <c r="AN45" s="73"/>
      <c r="AO45" s="74"/>
      <c r="AP45" s="112">
        <f>SUM(AP46:AU48)</f>
        <v>1.0499999999999998</v>
      </c>
      <c r="AQ45" s="113"/>
      <c r="AR45" s="113"/>
      <c r="AS45" s="113"/>
      <c r="AT45" s="113"/>
      <c r="AU45" s="114"/>
      <c r="AV45" s="85"/>
      <c r="AW45" s="86"/>
      <c r="AX45" s="86"/>
      <c r="AY45" s="86"/>
      <c r="AZ45" s="86"/>
      <c r="BA45" s="87"/>
      <c r="BB45" s="112">
        <f>SUM(BB46:BG48)</f>
        <v>1.0499999999999998</v>
      </c>
      <c r="BC45" s="113"/>
      <c r="BD45" s="113"/>
      <c r="BE45" s="113"/>
      <c r="BF45" s="113"/>
      <c r="BG45" s="114"/>
      <c r="BH45" s="112">
        <f>SUM(BH46:BM48)</f>
        <v>0.35660262</v>
      </c>
      <c r="BI45" s="113"/>
      <c r="BJ45" s="113"/>
      <c r="BK45" s="113"/>
      <c r="BL45" s="113"/>
      <c r="BM45" s="114"/>
      <c r="BN45" s="39">
        <f>SUM(BN46:BS48)</f>
        <v>-0.49</v>
      </c>
      <c r="BO45" s="39"/>
      <c r="BP45" s="39"/>
      <c r="BQ45" s="39"/>
      <c r="BR45" s="39"/>
      <c r="BS45" s="39"/>
      <c r="BT45" s="85"/>
      <c r="BU45" s="86"/>
      <c r="BV45" s="86"/>
      <c r="BW45" s="86"/>
      <c r="BX45" s="86"/>
      <c r="BY45" s="87"/>
      <c r="BZ45" s="85"/>
      <c r="CA45" s="86"/>
      <c r="CB45" s="86"/>
      <c r="CC45" s="86"/>
      <c r="CD45" s="86"/>
      <c r="CE45" s="87"/>
      <c r="CF45" s="85"/>
      <c r="CG45" s="86"/>
      <c r="CH45" s="86"/>
      <c r="CI45" s="86"/>
      <c r="CJ45" s="86"/>
      <c r="CK45" s="87"/>
      <c r="CL45" s="85"/>
      <c r="CM45" s="86"/>
      <c r="CN45" s="86"/>
      <c r="CO45" s="86"/>
      <c r="CP45" s="86"/>
      <c r="CQ45" s="87"/>
      <c r="CR45" s="99"/>
      <c r="CS45" s="99"/>
      <c r="CT45" s="99"/>
      <c r="CU45" s="99"/>
      <c r="CV45" s="99"/>
      <c r="CW45" s="99"/>
    </row>
    <row r="46" spans="3:101" s="17" customFormat="1" ht="15.75">
      <c r="C46" s="100" t="s">
        <v>196</v>
      </c>
      <c r="D46" s="101"/>
      <c r="E46" s="102"/>
      <c r="F46" s="63" t="s">
        <v>192</v>
      </c>
      <c r="G46" s="64"/>
      <c r="H46" s="64"/>
      <c r="I46" s="64"/>
      <c r="J46" s="64"/>
      <c r="K46" s="64"/>
      <c r="L46" s="64"/>
      <c r="M46" s="64"/>
      <c r="N46" s="64"/>
      <c r="O46" s="64"/>
      <c r="P46" s="65"/>
      <c r="Q46" s="66">
        <v>2020</v>
      </c>
      <c r="R46" s="66"/>
      <c r="S46" s="66"/>
      <c r="T46" s="66"/>
      <c r="U46" s="66"/>
      <c r="V46" s="66"/>
      <c r="W46" s="66"/>
      <c r="X46" s="72">
        <v>2020</v>
      </c>
      <c r="Y46" s="73"/>
      <c r="Z46" s="73"/>
      <c r="AA46" s="73"/>
      <c r="AB46" s="73"/>
      <c r="AC46" s="74"/>
      <c r="AD46" s="72">
        <v>2020</v>
      </c>
      <c r="AE46" s="73"/>
      <c r="AF46" s="73"/>
      <c r="AG46" s="73"/>
      <c r="AH46" s="73"/>
      <c r="AI46" s="74"/>
      <c r="AJ46" s="68">
        <v>100</v>
      </c>
      <c r="AK46" s="68"/>
      <c r="AL46" s="68"/>
      <c r="AM46" s="68"/>
      <c r="AN46" s="68"/>
      <c r="AO46" s="68"/>
      <c r="AP46" s="69">
        <v>0.15</v>
      </c>
      <c r="AQ46" s="70"/>
      <c r="AR46" s="70"/>
      <c r="AS46" s="70"/>
      <c r="AT46" s="70"/>
      <c r="AU46" s="71"/>
      <c r="AV46" s="85"/>
      <c r="AW46" s="86"/>
      <c r="AX46" s="86"/>
      <c r="AY46" s="86"/>
      <c r="AZ46" s="86"/>
      <c r="BA46" s="87"/>
      <c r="BB46" s="69">
        <v>0.15</v>
      </c>
      <c r="BC46" s="70"/>
      <c r="BD46" s="70"/>
      <c r="BE46" s="70"/>
      <c r="BF46" s="70"/>
      <c r="BG46" s="71"/>
      <c r="BH46" s="69">
        <f>0.021739+0.08743247</f>
        <v>0.10917146999999999</v>
      </c>
      <c r="BI46" s="70"/>
      <c r="BJ46" s="70"/>
      <c r="BK46" s="70"/>
      <c r="BL46" s="70"/>
      <c r="BM46" s="71"/>
      <c r="BN46" s="78">
        <v>0</v>
      </c>
      <c r="BO46" s="78"/>
      <c r="BP46" s="78"/>
      <c r="BQ46" s="78"/>
      <c r="BR46" s="78"/>
      <c r="BS46" s="78"/>
      <c r="BT46" s="69">
        <f>SUM(BZ46:CQ46)</f>
        <v>-0.04082853</v>
      </c>
      <c r="BU46" s="70"/>
      <c r="BV46" s="70"/>
      <c r="BW46" s="70"/>
      <c r="BX46" s="70"/>
      <c r="BY46" s="71"/>
      <c r="BZ46" s="69">
        <v>0</v>
      </c>
      <c r="CA46" s="70"/>
      <c r="CB46" s="70"/>
      <c r="CC46" s="70"/>
      <c r="CD46" s="70"/>
      <c r="CE46" s="71"/>
      <c r="CF46" s="69">
        <v>0</v>
      </c>
      <c r="CG46" s="70"/>
      <c r="CH46" s="70"/>
      <c r="CI46" s="70"/>
      <c r="CJ46" s="70"/>
      <c r="CK46" s="71"/>
      <c r="CL46" s="69">
        <f>SUM(BH46-BB46)</f>
        <v>-0.04082853</v>
      </c>
      <c r="CM46" s="70"/>
      <c r="CN46" s="70"/>
      <c r="CO46" s="70"/>
      <c r="CP46" s="70"/>
      <c r="CQ46" s="71"/>
      <c r="CR46" s="96" t="s">
        <v>324</v>
      </c>
      <c r="CS46" s="97"/>
      <c r="CT46" s="97"/>
      <c r="CU46" s="97"/>
      <c r="CV46" s="97"/>
      <c r="CW46" s="98"/>
    </row>
    <row r="47" spans="3:101" s="17" customFormat="1" ht="18" customHeight="1">
      <c r="C47" s="100" t="s">
        <v>197</v>
      </c>
      <c r="D47" s="101"/>
      <c r="E47" s="102"/>
      <c r="F47" s="63" t="s">
        <v>193</v>
      </c>
      <c r="G47" s="64"/>
      <c r="H47" s="64"/>
      <c r="I47" s="64"/>
      <c r="J47" s="64"/>
      <c r="K47" s="64"/>
      <c r="L47" s="64"/>
      <c r="M47" s="64"/>
      <c r="N47" s="64"/>
      <c r="O47" s="64"/>
      <c r="P47" s="65"/>
      <c r="Q47" s="66">
        <v>2020</v>
      </c>
      <c r="R47" s="66"/>
      <c r="S47" s="66"/>
      <c r="T47" s="66"/>
      <c r="U47" s="66"/>
      <c r="V47" s="66"/>
      <c r="W47" s="66"/>
      <c r="X47" s="72">
        <v>2020</v>
      </c>
      <c r="Y47" s="73"/>
      <c r="Z47" s="73"/>
      <c r="AA47" s="73"/>
      <c r="AB47" s="73"/>
      <c r="AC47" s="74"/>
      <c r="AD47" s="72">
        <v>2020</v>
      </c>
      <c r="AE47" s="73"/>
      <c r="AF47" s="73"/>
      <c r="AG47" s="73"/>
      <c r="AH47" s="73"/>
      <c r="AI47" s="74"/>
      <c r="AJ47" s="68">
        <v>100</v>
      </c>
      <c r="AK47" s="68"/>
      <c r="AL47" s="68"/>
      <c r="AM47" s="68"/>
      <c r="AN47" s="68"/>
      <c r="AO47" s="68"/>
      <c r="AP47" s="69">
        <v>0.41</v>
      </c>
      <c r="AQ47" s="70"/>
      <c r="AR47" s="70"/>
      <c r="AS47" s="70"/>
      <c r="AT47" s="70"/>
      <c r="AU47" s="71"/>
      <c r="AV47" s="85"/>
      <c r="AW47" s="86"/>
      <c r="AX47" s="86"/>
      <c r="AY47" s="86"/>
      <c r="AZ47" s="86"/>
      <c r="BA47" s="87"/>
      <c r="BB47" s="69">
        <v>0.41</v>
      </c>
      <c r="BC47" s="70"/>
      <c r="BD47" s="70"/>
      <c r="BE47" s="70"/>
      <c r="BF47" s="70"/>
      <c r="BG47" s="71"/>
      <c r="BH47" s="69">
        <f>0.003602+0.001383+0.24244615</f>
        <v>0.24743115</v>
      </c>
      <c r="BI47" s="70"/>
      <c r="BJ47" s="70"/>
      <c r="BK47" s="70"/>
      <c r="BL47" s="70"/>
      <c r="BM47" s="71"/>
      <c r="BN47" s="78">
        <v>0</v>
      </c>
      <c r="BO47" s="78"/>
      <c r="BP47" s="78"/>
      <c r="BQ47" s="78"/>
      <c r="BR47" s="78"/>
      <c r="BS47" s="78"/>
      <c r="BT47" s="80">
        <f>BZ47+CF47+CL47</f>
        <v>-0.16695385000000001</v>
      </c>
      <c r="BU47" s="81"/>
      <c r="BV47" s="81"/>
      <c r="BW47" s="81"/>
      <c r="BX47" s="81"/>
      <c r="BY47" s="82"/>
      <c r="BZ47" s="80">
        <v>-0.115</v>
      </c>
      <c r="CA47" s="81"/>
      <c r="CB47" s="81"/>
      <c r="CC47" s="81"/>
      <c r="CD47" s="81"/>
      <c r="CE47" s="82"/>
      <c r="CF47" s="80">
        <f>0.24729547-0.2944</f>
        <v>-0.047104530000000006</v>
      </c>
      <c r="CG47" s="81"/>
      <c r="CH47" s="81"/>
      <c r="CI47" s="81"/>
      <c r="CJ47" s="81"/>
      <c r="CK47" s="82"/>
      <c r="CL47" s="80">
        <f>0.24244615-0.24729547</f>
        <v>-0.00484931999999999</v>
      </c>
      <c r="CM47" s="81"/>
      <c r="CN47" s="81"/>
      <c r="CO47" s="81"/>
      <c r="CP47" s="81"/>
      <c r="CQ47" s="82"/>
      <c r="CR47" s="178" t="s">
        <v>326</v>
      </c>
      <c r="CS47" s="179"/>
      <c r="CT47" s="179"/>
      <c r="CU47" s="179"/>
      <c r="CV47" s="179"/>
      <c r="CW47" s="180"/>
    </row>
    <row r="48" spans="3:101" s="17" customFormat="1" ht="15.75">
      <c r="C48" s="100" t="s">
        <v>198</v>
      </c>
      <c r="D48" s="101"/>
      <c r="E48" s="102"/>
      <c r="F48" s="63" t="s">
        <v>194</v>
      </c>
      <c r="G48" s="64"/>
      <c r="H48" s="64"/>
      <c r="I48" s="64"/>
      <c r="J48" s="64"/>
      <c r="K48" s="64"/>
      <c r="L48" s="64"/>
      <c r="M48" s="64"/>
      <c r="N48" s="64"/>
      <c r="O48" s="64"/>
      <c r="P48" s="65"/>
      <c r="Q48" s="66">
        <v>2020</v>
      </c>
      <c r="R48" s="66"/>
      <c r="S48" s="66"/>
      <c r="T48" s="66"/>
      <c r="U48" s="66"/>
      <c r="V48" s="66"/>
      <c r="W48" s="66"/>
      <c r="X48" s="72">
        <v>2020</v>
      </c>
      <c r="Y48" s="73"/>
      <c r="Z48" s="73"/>
      <c r="AA48" s="73"/>
      <c r="AB48" s="73"/>
      <c r="AC48" s="74"/>
      <c r="AD48" s="72"/>
      <c r="AE48" s="73"/>
      <c r="AF48" s="73"/>
      <c r="AG48" s="73"/>
      <c r="AH48" s="73"/>
      <c r="AI48" s="74"/>
      <c r="AJ48" s="68"/>
      <c r="AK48" s="68"/>
      <c r="AL48" s="68"/>
      <c r="AM48" s="68"/>
      <c r="AN48" s="68"/>
      <c r="AO48" s="68"/>
      <c r="AP48" s="69">
        <v>0.49</v>
      </c>
      <c r="AQ48" s="70"/>
      <c r="AR48" s="70"/>
      <c r="AS48" s="70"/>
      <c r="AT48" s="70"/>
      <c r="AU48" s="71"/>
      <c r="AV48" s="85"/>
      <c r="AW48" s="86"/>
      <c r="AX48" s="86"/>
      <c r="AY48" s="86"/>
      <c r="AZ48" s="86"/>
      <c r="BA48" s="87"/>
      <c r="BB48" s="69">
        <v>0.49</v>
      </c>
      <c r="BC48" s="70"/>
      <c r="BD48" s="70"/>
      <c r="BE48" s="70"/>
      <c r="BF48" s="70"/>
      <c r="BG48" s="71"/>
      <c r="BH48" s="69"/>
      <c r="BI48" s="70"/>
      <c r="BJ48" s="70"/>
      <c r="BK48" s="70"/>
      <c r="BL48" s="70"/>
      <c r="BM48" s="71"/>
      <c r="BN48" s="78">
        <f>SUM(BH48-BB48)</f>
        <v>-0.49</v>
      </c>
      <c r="BO48" s="78"/>
      <c r="BP48" s="78"/>
      <c r="BQ48" s="78"/>
      <c r="BR48" s="78"/>
      <c r="BS48" s="78"/>
      <c r="BT48" s="69"/>
      <c r="BU48" s="70"/>
      <c r="BV48" s="70"/>
      <c r="BW48" s="70"/>
      <c r="BX48" s="70"/>
      <c r="BY48" s="71"/>
      <c r="BZ48" s="69"/>
      <c r="CA48" s="70"/>
      <c r="CB48" s="70"/>
      <c r="CC48" s="70"/>
      <c r="CD48" s="70"/>
      <c r="CE48" s="71"/>
      <c r="CF48" s="69"/>
      <c r="CG48" s="70"/>
      <c r="CH48" s="70"/>
      <c r="CI48" s="70"/>
      <c r="CJ48" s="70"/>
      <c r="CK48" s="71"/>
      <c r="CL48" s="69"/>
      <c r="CM48" s="70"/>
      <c r="CN48" s="70"/>
      <c r="CO48" s="70"/>
      <c r="CP48" s="70"/>
      <c r="CQ48" s="71"/>
      <c r="CR48" s="181"/>
      <c r="CS48" s="182"/>
      <c r="CT48" s="182"/>
      <c r="CU48" s="182"/>
      <c r="CV48" s="182"/>
      <c r="CW48" s="183"/>
    </row>
    <row r="49" spans="3:101" s="17" customFormat="1" ht="23.25" customHeight="1">
      <c r="C49" s="139" t="s">
        <v>199</v>
      </c>
      <c r="D49" s="139"/>
      <c r="E49" s="139"/>
      <c r="F49" s="108" t="s">
        <v>136</v>
      </c>
      <c r="G49" s="109"/>
      <c r="H49" s="109"/>
      <c r="I49" s="109"/>
      <c r="J49" s="109"/>
      <c r="K49" s="109"/>
      <c r="L49" s="109"/>
      <c r="M49" s="109"/>
      <c r="N49" s="109"/>
      <c r="O49" s="109"/>
      <c r="P49" s="110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79"/>
      <c r="AK49" s="79"/>
      <c r="AL49" s="79"/>
      <c r="AM49" s="79"/>
      <c r="AN49" s="79"/>
      <c r="AO49" s="79"/>
      <c r="AP49" s="76">
        <f>SUM(BB49)</f>
        <v>5.66</v>
      </c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>
        <f>SUM(BB50:BG55)</f>
        <v>5.66</v>
      </c>
      <c r="BC49" s="76"/>
      <c r="BD49" s="76"/>
      <c r="BE49" s="76"/>
      <c r="BF49" s="76"/>
      <c r="BG49" s="76"/>
      <c r="BH49" s="76">
        <f>SUM(BH50:BM55)</f>
        <v>1.3886990600000002</v>
      </c>
      <c r="BI49" s="76"/>
      <c r="BJ49" s="76"/>
      <c r="BK49" s="76"/>
      <c r="BL49" s="76"/>
      <c r="BM49" s="76"/>
      <c r="BN49" s="76">
        <f>SUM(BN50:BS55)</f>
        <v>-2.7560132499999996</v>
      </c>
      <c r="BO49" s="76"/>
      <c r="BP49" s="76"/>
      <c r="BQ49" s="76"/>
      <c r="BR49" s="76"/>
      <c r="BS49" s="76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184"/>
      <c r="CS49" s="182"/>
      <c r="CT49" s="182"/>
      <c r="CU49" s="182"/>
      <c r="CV49" s="182"/>
      <c r="CW49" s="183"/>
    </row>
    <row r="50" spans="3:101" s="17" customFormat="1" ht="15.75">
      <c r="C50" s="119" t="s">
        <v>253</v>
      </c>
      <c r="D50" s="119"/>
      <c r="E50" s="119"/>
      <c r="F50" s="67" t="s">
        <v>200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6">
        <v>2020</v>
      </c>
      <c r="R50" s="66"/>
      <c r="S50" s="66"/>
      <c r="T50" s="66"/>
      <c r="U50" s="66"/>
      <c r="V50" s="66"/>
      <c r="W50" s="66"/>
      <c r="X50" s="72">
        <v>2020</v>
      </c>
      <c r="Y50" s="73"/>
      <c r="Z50" s="73"/>
      <c r="AA50" s="73"/>
      <c r="AB50" s="73"/>
      <c r="AC50" s="74"/>
      <c r="AD50" s="72">
        <v>2020</v>
      </c>
      <c r="AE50" s="73"/>
      <c r="AF50" s="73"/>
      <c r="AG50" s="73"/>
      <c r="AH50" s="73"/>
      <c r="AI50" s="74"/>
      <c r="AJ50" s="68">
        <v>100</v>
      </c>
      <c r="AK50" s="68"/>
      <c r="AL50" s="68"/>
      <c r="AM50" s="68"/>
      <c r="AN50" s="68"/>
      <c r="AO50" s="68"/>
      <c r="AP50" s="53">
        <v>0.37</v>
      </c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>
        <v>0.37</v>
      </c>
      <c r="BC50" s="53"/>
      <c r="BD50" s="53"/>
      <c r="BE50" s="53"/>
      <c r="BF50" s="53"/>
      <c r="BG50" s="53"/>
      <c r="BH50" s="53">
        <f>0.00760837+0.20987308</f>
        <v>0.21748145</v>
      </c>
      <c r="BI50" s="53"/>
      <c r="BJ50" s="53"/>
      <c r="BK50" s="53"/>
      <c r="BL50" s="53"/>
      <c r="BM50" s="53"/>
      <c r="BN50" s="69">
        <v>0</v>
      </c>
      <c r="BO50" s="70"/>
      <c r="BP50" s="70"/>
      <c r="BQ50" s="70"/>
      <c r="BR50" s="70"/>
      <c r="BS50" s="71"/>
      <c r="BT50" s="53">
        <f>SUM(BZ50:CQ50)</f>
        <v>-0.161</v>
      </c>
      <c r="BU50" s="53"/>
      <c r="BV50" s="53"/>
      <c r="BW50" s="53"/>
      <c r="BX50" s="53"/>
      <c r="BY50" s="53"/>
      <c r="BZ50" s="53">
        <f>0.301-BB50</f>
        <v>-0.069</v>
      </c>
      <c r="CA50" s="53"/>
      <c r="CB50" s="53"/>
      <c r="CC50" s="53"/>
      <c r="CD50" s="53"/>
      <c r="CE50" s="53"/>
      <c r="CF50" s="53">
        <f>0.251-0.301</f>
        <v>-0.04999999999999999</v>
      </c>
      <c r="CG50" s="53"/>
      <c r="CH50" s="53"/>
      <c r="CI50" s="53"/>
      <c r="CJ50" s="53"/>
      <c r="CK50" s="53"/>
      <c r="CL50" s="53">
        <f>0.209-0.251</f>
        <v>-0.04200000000000001</v>
      </c>
      <c r="CM50" s="53"/>
      <c r="CN50" s="53"/>
      <c r="CO50" s="53"/>
      <c r="CP50" s="53"/>
      <c r="CQ50" s="53"/>
      <c r="CR50" s="46" t="s">
        <v>326</v>
      </c>
      <c r="CS50" s="47"/>
      <c r="CT50" s="47"/>
      <c r="CU50" s="47"/>
      <c r="CV50" s="47"/>
      <c r="CW50" s="48"/>
    </row>
    <row r="51" spans="3:101" s="17" customFormat="1" ht="25.5" customHeight="1">
      <c r="C51" s="119" t="s">
        <v>254</v>
      </c>
      <c r="D51" s="119"/>
      <c r="E51" s="119"/>
      <c r="F51" s="67" t="s">
        <v>201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6">
        <v>2020</v>
      </c>
      <c r="R51" s="66"/>
      <c r="S51" s="66"/>
      <c r="T51" s="66"/>
      <c r="U51" s="66"/>
      <c r="V51" s="66"/>
      <c r="W51" s="66"/>
      <c r="X51" s="72">
        <v>2020</v>
      </c>
      <c r="Y51" s="73"/>
      <c r="Z51" s="73"/>
      <c r="AA51" s="73"/>
      <c r="AB51" s="73"/>
      <c r="AC51" s="74"/>
      <c r="AD51" s="72">
        <v>2020</v>
      </c>
      <c r="AE51" s="73"/>
      <c r="AF51" s="73"/>
      <c r="AG51" s="73"/>
      <c r="AH51" s="73"/>
      <c r="AI51" s="74"/>
      <c r="AJ51" s="68">
        <v>100</v>
      </c>
      <c r="AK51" s="68"/>
      <c r="AL51" s="68"/>
      <c r="AM51" s="68"/>
      <c r="AN51" s="68"/>
      <c r="AO51" s="68"/>
      <c r="AP51" s="53">
        <v>0.49</v>
      </c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>
        <v>0.49</v>
      </c>
      <c r="BC51" s="53"/>
      <c r="BD51" s="53"/>
      <c r="BE51" s="53"/>
      <c r="BF51" s="53"/>
      <c r="BG51" s="53"/>
      <c r="BH51" s="53">
        <f>0.002919+0.22953215</f>
        <v>0.23245115</v>
      </c>
      <c r="BI51" s="53"/>
      <c r="BJ51" s="53"/>
      <c r="BK51" s="53"/>
      <c r="BL51" s="53"/>
      <c r="BM51" s="53"/>
      <c r="BN51" s="69">
        <v>0</v>
      </c>
      <c r="BO51" s="70"/>
      <c r="BP51" s="70"/>
      <c r="BQ51" s="70"/>
      <c r="BR51" s="70"/>
      <c r="BS51" s="71"/>
      <c r="BT51" s="53">
        <f>BZ51+CF51+CL51</f>
        <v>-0.26011199999999995</v>
      </c>
      <c r="BU51" s="53"/>
      <c r="BV51" s="53"/>
      <c r="BW51" s="53"/>
      <c r="BX51" s="53"/>
      <c r="BY51" s="53"/>
      <c r="BZ51" s="53">
        <f>0.280388-0.49</f>
        <v>-0.20961199999999997</v>
      </c>
      <c r="CA51" s="53"/>
      <c r="CB51" s="53"/>
      <c r="CC51" s="53"/>
      <c r="CD51" s="53"/>
      <c r="CE51" s="53"/>
      <c r="CF51" s="53">
        <f>0.234-0.28</f>
        <v>-0.04600000000000001</v>
      </c>
      <c r="CG51" s="53"/>
      <c r="CH51" s="53"/>
      <c r="CI51" s="53"/>
      <c r="CJ51" s="53"/>
      <c r="CK51" s="53"/>
      <c r="CL51" s="53">
        <f>0.2295-0.234</f>
        <v>-0.004500000000000004</v>
      </c>
      <c r="CM51" s="53"/>
      <c r="CN51" s="53"/>
      <c r="CO51" s="53"/>
      <c r="CP51" s="53"/>
      <c r="CQ51" s="53"/>
      <c r="CR51" s="49"/>
      <c r="CS51" s="50"/>
      <c r="CT51" s="50"/>
      <c r="CU51" s="50"/>
      <c r="CV51" s="50"/>
      <c r="CW51" s="51"/>
    </row>
    <row r="52" spans="3:101" s="17" customFormat="1" ht="15.75">
      <c r="C52" s="119" t="s">
        <v>255</v>
      </c>
      <c r="D52" s="119"/>
      <c r="E52" s="119"/>
      <c r="F52" s="67" t="s">
        <v>202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6">
        <v>2020</v>
      </c>
      <c r="R52" s="66"/>
      <c r="S52" s="66"/>
      <c r="T52" s="66"/>
      <c r="U52" s="66"/>
      <c r="V52" s="66"/>
      <c r="W52" s="66"/>
      <c r="X52" s="72">
        <v>2020</v>
      </c>
      <c r="Y52" s="73"/>
      <c r="Z52" s="73"/>
      <c r="AA52" s="73"/>
      <c r="AB52" s="73"/>
      <c r="AC52" s="74"/>
      <c r="AD52" s="67"/>
      <c r="AE52" s="67"/>
      <c r="AF52" s="67"/>
      <c r="AG52" s="67"/>
      <c r="AH52" s="67"/>
      <c r="AI52" s="67"/>
      <c r="AJ52" s="68"/>
      <c r="AK52" s="68"/>
      <c r="AL52" s="68"/>
      <c r="AM52" s="68"/>
      <c r="AN52" s="68"/>
      <c r="AO52" s="68"/>
      <c r="AP52" s="53">
        <v>0.96</v>
      </c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>
        <v>0.96</v>
      </c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69">
        <f>SUM(BH52-BB52)</f>
        <v>-0.96</v>
      </c>
      <c r="BO52" s="70"/>
      <c r="BP52" s="70"/>
      <c r="BQ52" s="70"/>
      <c r="BR52" s="70"/>
      <c r="BS52" s="71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141"/>
      <c r="CS52" s="134"/>
      <c r="CT52" s="134"/>
      <c r="CU52" s="134"/>
      <c r="CV52" s="134"/>
      <c r="CW52" s="135"/>
    </row>
    <row r="53" spans="3:101" s="17" customFormat="1" ht="21.75" customHeight="1">
      <c r="C53" s="119" t="s">
        <v>256</v>
      </c>
      <c r="D53" s="119"/>
      <c r="E53" s="119"/>
      <c r="F53" s="67" t="s">
        <v>203</v>
      </c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6">
        <v>2020</v>
      </c>
      <c r="R53" s="66"/>
      <c r="S53" s="66"/>
      <c r="T53" s="66"/>
      <c r="U53" s="66"/>
      <c r="V53" s="66"/>
      <c r="W53" s="66"/>
      <c r="X53" s="72">
        <v>2020</v>
      </c>
      <c r="Y53" s="73"/>
      <c r="Z53" s="73"/>
      <c r="AA53" s="73"/>
      <c r="AB53" s="73"/>
      <c r="AC53" s="74"/>
      <c r="AD53" s="72">
        <v>2020</v>
      </c>
      <c r="AE53" s="73"/>
      <c r="AF53" s="73"/>
      <c r="AG53" s="73"/>
      <c r="AH53" s="73"/>
      <c r="AI53" s="74"/>
      <c r="AJ53" s="68">
        <v>100</v>
      </c>
      <c r="AK53" s="68"/>
      <c r="AL53" s="68"/>
      <c r="AM53" s="68"/>
      <c r="AN53" s="68"/>
      <c r="AO53" s="68"/>
      <c r="AP53" s="53">
        <v>0.9</v>
      </c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>
        <v>0.9</v>
      </c>
      <c r="BC53" s="53"/>
      <c r="BD53" s="53"/>
      <c r="BE53" s="53"/>
      <c r="BF53" s="53"/>
      <c r="BG53" s="53"/>
      <c r="BH53" s="53">
        <f>0.011758+0.52502</f>
        <v>0.5367780000000001</v>
      </c>
      <c r="BI53" s="53"/>
      <c r="BJ53" s="53"/>
      <c r="BK53" s="53"/>
      <c r="BL53" s="53"/>
      <c r="BM53" s="53"/>
      <c r="BN53" s="69">
        <v>0</v>
      </c>
      <c r="BO53" s="70"/>
      <c r="BP53" s="70"/>
      <c r="BQ53" s="70"/>
      <c r="BR53" s="70"/>
      <c r="BS53" s="71"/>
      <c r="BT53" s="53">
        <f>BZ53+CL53</f>
        <v>-0.3514639999999999</v>
      </c>
      <c r="BU53" s="53"/>
      <c r="BV53" s="53"/>
      <c r="BW53" s="53"/>
      <c r="BX53" s="53"/>
      <c r="BY53" s="53"/>
      <c r="BZ53" s="53">
        <f>(0.535951+0.011758)-0.9</f>
        <v>-0.352291</v>
      </c>
      <c r="CA53" s="53"/>
      <c r="CB53" s="53"/>
      <c r="CC53" s="53"/>
      <c r="CD53" s="53"/>
      <c r="CE53" s="53"/>
      <c r="CF53" s="53">
        <v>0</v>
      </c>
      <c r="CG53" s="53"/>
      <c r="CH53" s="53"/>
      <c r="CI53" s="53"/>
      <c r="CJ53" s="53"/>
      <c r="CK53" s="53"/>
      <c r="CL53" s="53">
        <f>(0.52502+0.011758)-0.535951</f>
        <v>0.0008270000000001332</v>
      </c>
      <c r="CM53" s="53"/>
      <c r="CN53" s="53"/>
      <c r="CO53" s="53"/>
      <c r="CP53" s="53"/>
      <c r="CQ53" s="53"/>
      <c r="CR53" s="141" t="s">
        <v>325</v>
      </c>
      <c r="CS53" s="134"/>
      <c r="CT53" s="134"/>
      <c r="CU53" s="134"/>
      <c r="CV53" s="134"/>
      <c r="CW53" s="135"/>
    </row>
    <row r="54" spans="3:101" s="17" customFormat="1" ht="32.25" customHeight="1">
      <c r="C54" s="119" t="s">
        <v>257</v>
      </c>
      <c r="D54" s="119"/>
      <c r="E54" s="119"/>
      <c r="F54" s="67" t="s">
        <v>204</v>
      </c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6">
        <v>2020</v>
      </c>
      <c r="R54" s="66"/>
      <c r="S54" s="66"/>
      <c r="T54" s="66"/>
      <c r="U54" s="66"/>
      <c r="V54" s="66"/>
      <c r="W54" s="66"/>
      <c r="X54" s="72">
        <v>2020</v>
      </c>
      <c r="Y54" s="73"/>
      <c r="Z54" s="73"/>
      <c r="AA54" s="73"/>
      <c r="AB54" s="73"/>
      <c r="AC54" s="74"/>
      <c r="AD54" s="72">
        <v>2020</v>
      </c>
      <c r="AE54" s="73"/>
      <c r="AF54" s="73"/>
      <c r="AG54" s="73"/>
      <c r="AH54" s="73"/>
      <c r="AI54" s="74"/>
      <c r="AJ54" s="68">
        <v>100</v>
      </c>
      <c r="AK54" s="68"/>
      <c r="AL54" s="68"/>
      <c r="AM54" s="68"/>
      <c r="AN54" s="68"/>
      <c r="AO54" s="68"/>
      <c r="AP54" s="53">
        <v>0.99</v>
      </c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>
        <v>0.99</v>
      </c>
      <c r="BC54" s="53"/>
      <c r="BD54" s="53"/>
      <c r="BE54" s="53"/>
      <c r="BF54" s="53"/>
      <c r="BG54" s="53"/>
      <c r="BH54" s="53">
        <v>0.24800171</v>
      </c>
      <c r="BI54" s="53"/>
      <c r="BJ54" s="53"/>
      <c r="BK54" s="53"/>
      <c r="BL54" s="53"/>
      <c r="BM54" s="53"/>
      <c r="BN54" s="69">
        <v>0</v>
      </c>
      <c r="BO54" s="70"/>
      <c r="BP54" s="70"/>
      <c r="BQ54" s="70"/>
      <c r="BR54" s="70"/>
      <c r="BS54" s="71"/>
      <c r="BT54" s="53">
        <f>BZ54+CF54+CL54</f>
        <v>-0.72184827</v>
      </c>
      <c r="BU54" s="53"/>
      <c r="BV54" s="53"/>
      <c r="BW54" s="53"/>
      <c r="BX54" s="53"/>
      <c r="BY54" s="53"/>
      <c r="BZ54" s="53">
        <f>0.288354-0.99</f>
        <v>-0.701646</v>
      </c>
      <c r="CA54" s="53"/>
      <c r="CB54" s="53"/>
      <c r="CC54" s="53"/>
      <c r="CD54" s="53"/>
      <c r="CE54" s="53"/>
      <c r="CF54" s="53">
        <f>0.25807672-0.288354</f>
        <v>-0.030277280000000018</v>
      </c>
      <c r="CG54" s="53"/>
      <c r="CH54" s="53"/>
      <c r="CI54" s="53"/>
      <c r="CJ54" s="53"/>
      <c r="CK54" s="53"/>
      <c r="CL54" s="53">
        <f>0.25807672-0.24800171</f>
        <v>0.010075009999999995</v>
      </c>
      <c r="CM54" s="53"/>
      <c r="CN54" s="53"/>
      <c r="CO54" s="53"/>
      <c r="CP54" s="53"/>
      <c r="CQ54" s="53"/>
      <c r="CR54" s="46" t="s">
        <v>326</v>
      </c>
      <c r="CS54" s="134"/>
      <c r="CT54" s="134"/>
      <c r="CU54" s="134"/>
      <c r="CV54" s="134"/>
      <c r="CW54" s="135"/>
    </row>
    <row r="55" spans="3:101" s="17" customFormat="1" ht="15.75">
      <c r="C55" s="119" t="s">
        <v>258</v>
      </c>
      <c r="D55" s="119"/>
      <c r="E55" s="119"/>
      <c r="F55" s="67" t="s">
        <v>205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6">
        <v>2020</v>
      </c>
      <c r="R55" s="66"/>
      <c r="S55" s="66"/>
      <c r="T55" s="66"/>
      <c r="U55" s="66"/>
      <c r="V55" s="66"/>
      <c r="W55" s="66"/>
      <c r="X55" s="72">
        <v>2020</v>
      </c>
      <c r="Y55" s="73"/>
      <c r="Z55" s="73"/>
      <c r="AA55" s="73"/>
      <c r="AB55" s="73"/>
      <c r="AC55" s="74"/>
      <c r="AD55" s="72">
        <v>2020</v>
      </c>
      <c r="AE55" s="73"/>
      <c r="AF55" s="73"/>
      <c r="AG55" s="73"/>
      <c r="AH55" s="73"/>
      <c r="AI55" s="74"/>
      <c r="AJ55" s="68">
        <v>100</v>
      </c>
      <c r="AK55" s="68"/>
      <c r="AL55" s="68"/>
      <c r="AM55" s="68"/>
      <c r="AN55" s="68"/>
      <c r="AO55" s="68"/>
      <c r="AP55" s="53">
        <v>1.95</v>
      </c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>
        <v>1.95</v>
      </c>
      <c r="BC55" s="53"/>
      <c r="BD55" s="53"/>
      <c r="BE55" s="53"/>
      <c r="BF55" s="53"/>
      <c r="BG55" s="53"/>
      <c r="BH55" s="53">
        <f>0.00863612+0.025669+0.023664+0.04010051+0.00979912+0.011242+0.034876</f>
        <v>0.15398674999999998</v>
      </c>
      <c r="BI55" s="53"/>
      <c r="BJ55" s="53"/>
      <c r="BK55" s="53"/>
      <c r="BL55" s="53"/>
      <c r="BM55" s="53"/>
      <c r="BN55" s="69">
        <f>SUM(BH55-BB55)</f>
        <v>-1.79601325</v>
      </c>
      <c r="BO55" s="70"/>
      <c r="BP55" s="70"/>
      <c r="BQ55" s="70"/>
      <c r="BR55" s="70"/>
      <c r="BS55" s="71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96" t="s">
        <v>331</v>
      </c>
      <c r="CS55" s="97"/>
      <c r="CT55" s="97"/>
      <c r="CU55" s="97"/>
      <c r="CV55" s="97"/>
      <c r="CW55" s="98"/>
    </row>
    <row r="56" spans="3:102" s="17" customFormat="1" ht="15.75">
      <c r="C56" s="139" t="s">
        <v>206</v>
      </c>
      <c r="D56" s="139"/>
      <c r="E56" s="139"/>
      <c r="F56" s="120" t="s">
        <v>137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79"/>
      <c r="AK56" s="79"/>
      <c r="AL56" s="79"/>
      <c r="AM56" s="79"/>
      <c r="AN56" s="79"/>
      <c r="AO56" s="79"/>
      <c r="AP56" s="76">
        <f>SUM(AP57:AU104)</f>
        <v>20.564000000000004</v>
      </c>
      <c r="AQ56" s="76"/>
      <c r="AR56" s="76"/>
      <c r="AS56" s="76"/>
      <c r="AT56" s="76"/>
      <c r="AU56" s="76"/>
      <c r="AV56" s="53"/>
      <c r="AW56" s="53"/>
      <c r="AX56" s="53"/>
      <c r="AY56" s="53"/>
      <c r="AZ56" s="53"/>
      <c r="BA56" s="53"/>
      <c r="BB56" s="76">
        <f>SUM(BB57:BG104)</f>
        <v>20.564000000000004</v>
      </c>
      <c r="BC56" s="76"/>
      <c r="BD56" s="76"/>
      <c r="BE56" s="76"/>
      <c r="BF56" s="76"/>
      <c r="BG56" s="76"/>
      <c r="BH56" s="76">
        <f>SUM(BH57:BM104)</f>
        <v>5.800145390000001</v>
      </c>
      <c r="BI56" s="76"/>
      <c r="BJ56" s="76"/>
      <c r="BK56" s="76"/>
      <c r="BL56" s="76"/>
      <c r="BM56" s="76"/>
      <c r="BN56" s="76">
        <f>SUM(BN57:BS104)</f>
        <v>-9.391261240000002</v>
      </c>
      <c r="BO56" s="76"/>
      <c r="BP56" s="76"/>
      <c r="BQ56" s="76"/>
      <c r="BR56" s="76"/>
      <c r="BS56" s="76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127"/>
      <c r="CS56" s="127"/>
      <c r="CT56" s="127"/>
      <c r="CU56" s="127"/>
      <c r="CV56" s="127"/>
      <c r="CW56" s="127"/>
      <c r="CX56" s="18"/>
    </row>
    <row r="57" spans="3:101" s="17" customFormat="1" ht="15" customHeight="1">
      <c r="C57" s="62" t="s">
        <v>207</v>
      </c>
      <c r="D57" s="62"/>
      <c r="E57" s="62"/>
      <c r="F57" s="63" t="s">
        <v>252</v>
      </c>
      <c r="G57" s="64"/>
      <c r="H57" s="64"/>
      <c r="I57" s="64"/>
      <c r="J57" s="64"/>
      <c r="K57" s="64"/>
      <c r="L57" s="64"/>
      <c r="M57" s="64"/>
      <c r="N57" s="64"/>
      <c r="O57" s="64"/>
      <c r="P57" s="65"/>
      <c r="Q57" s="66">
        <v>2020</v>
      </c>
      <c r="R57" s="66"/>
      <c r="S57" s="66"/>
      <c r="T57" s="66"/>
      <c r="U57" s="66"/>
      <c r="V57" s="66"/>
      <c r="W57" s="66"/>
      <c r="X57" s="72">
        <v>2020</v>
      </c>
      <c r="Y57" s="73"/>
      <c r="Z57" s="73"/>
      <c r="AA57" s="73"/>
      <c r="AB57" s="73"/>
      <c r="AC57" s="74"/>
      <c r="AD57" s="67"/>
      <c r="AE57" s="67"/>
      <c r="AF57" s="67"/>
      <c r="AG57" s="67"/>
      <c r="AH57" s="67"/>
      <c r="AI57" s="67"/>
      <c r="AJ57" s="68"/>
      <c r="AK57" s="68"/>
      <c r="AL57" s="68"/>
      <c r="AM57" s="68"/>
      <c r="AN57" s="68"/>
      <c r="AO57" s="68"/>
      <c r="AP57" s="53">
        <v>0.15</v>
      </c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>
        <v>0.15</v>
      </c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>
        <f>SUM(BH57-BB57)</f>
        <v>-0.15</v>
      </c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127"/>
      <c r="CS57" s="127"/>
      <c r="CT57" s="127"/>
      <c r="CU57" s="127"/>
      <c r="CV57" s="127"/>
      <c r="CW57" s="127"/>
    </row>
    <row r="58" spans="3:101" s="17" customFormat="1" ht="23.25" customHeight="1">
      <c r="C58" s="62" t="s">
        <v>208</v>
      </c>
      <c r="D58" s="62"/>
      <c r="E58" s="62"/>
      <c r="F58" s="63" t="s">
        <v>259</v>
      </c>
      <c r="G58" s="64"/>
      <c r="H58" s="64"/>
      <c r="I58" s="64"/>
      <c r="J58" s="64"/>
      <c r="K58" s="64"/>
      <c r="L58" s="64"/>
      <c r="M58" s="64"/>
      <c r="N58" s="64"/>
      <c r="O58" s="64"/>
      <c r="P58" s="65"/>
      <c r="Q58" s="66">
        <v>2020</v>
      </c>
      <c r="R58" s="66"/>
      <c r="S58" s="66"/>
      <c r="T58" s="66"/>
      <c r="U58" s="66"/>
      <c r="V58" s="66"/>
      <c r="W58" s="66"/>
      <c r="X58" s="72">
        <v>2020</v>
      </c>
      <c r="Y58" s="73"/>
      <c r="Z58" s="73"/>
      <c r="AA58" s="73"/>
      <c r="AB58" s="73"/>
      <c r="AC58" s="74"/>
      <c r="AD58" s="72">
        <v>2020</v>
      </c>
      <c r="AE58" s="73"/>
      <c r="AF58" s="73"/>
      <c r="AG58" s="73"/>
      <c r="AH58" s="73"/>
      <c r="AI58" s="74"/>
      <c r="AJ58" s="68">
        <v>100</v>
      </c>
      <c r="AK58" s="68"/>
      <c r="AL58" s="68"/>
      <c r="AM58" s="68"/>
      <c r="AN58" s="68"/>
      <c r="AO58" s="68"/>
      <c r="AP58" s="53">
        <v>1.28</v>
      </c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>
        <v>1.28</v>
      </c>
      <c r="BC58" s="53"/>
      <c r="BD58" s="53"/>
      <c r="BE58" s="53"/>
      <c r="BF58" s="53"/>
      <c r="BG58" s="53"/>
      <c r="BH58" s="53">
        <f>0.0029+0.27679978</f>
        <v>0.27969978</v>
      </c>
      <c r="BI58" s="53"/>
      <c r="BJ58" s="53"/>
      <c r="BK58" s="53"/>
      <c r="BL58" s="53"/>
      <c r="BM58" s="53"/>
      <c r="BN58" s="53">
        <v>0</v>
      </c>
      <c r="BO58" s="53"/>
      <c r="BP58" s="53"/>
      <c r="BQ58" s="53"/>
      <c r="BR58" s="53"/>
      <c r="BS58" s="53"/>
      <c r="BT58" s="53">
        <f>BZ58+CF58+CL58</f>
        <v>-1.00320022</v>
      </c>
      <c r="BU58" s="53"/>
      <c r="BV58" s="53"/>
      <c r="BW58" s="53"/>
      <c r="BX58" s="53"/>
      <c r="BY58" s="53"/>
      <c r="BZ58" s="53">
        <f>0.28166882-BB58</f>
        <v>-0.9983311800000001</v>
      </c>
      <c r="CA58" s="53"/>
      <c r="CB58" s="53"/>
      <c r="CC58" s="53"/>
      <c r="CD58" s="53"/>
      <c r="CE58" s="53"/>
      <c r="CF58" s="53">
        <f>0.28025844-0.28166882</f>
        <v>-0.0014103799999999889</v>
      </c>
      <c r="CG58" s="53"/>
      <c r="CH58" s="53"/>
      <c r="CI58" s="53"/>
      <c r="CJ58" s="53"/>
      <c r="CK58" s="53"/>
      <c r="CL58" s="53">
        <f>0.27679978-0.28025844</f>
        <v>-0.0034586600000000023</v>
      </c>
      <c r="CM58" s="53"/>
      <c r="CN58" s="53"/>
      <c r="CO58" s="53"/>
      <c r="CP58" s="53"/>
      <c r="CQ58" s="53"/>
      <c r="CR58" s="46" t="s">
        <v>326</v>
      </c>
      <c r="CS58" s="134"/>
      <c r="CT58" s="134"/>
      <c r="CU58" s="134"/>
      <c r="CV58" s="134"/>
      <c r="CW58" s="135"/>
    </row>
    <row r="59" spans="3:101" s="17" customFormat="1" ht="15.75" customHeight="1">
      <c r="C59" s="62" t="s">
        <v>209</v>
      </c>
      <c r="D59" s="62"/>
      <c r="E59" s="62"/>
      <c r="F59" s="63" t="s">
        <v>260</v>
      </c>
      <c r="G59" s="64"/>
      <c r="H59" s="64"/>
      <c r="I59" s="64"/>
      <c r="J59" s="64"/>
      <c r="K59" s="64"/>
      <c r="L59" s="64"/>
      <c r="M59" s="64"/>
      <c r="N59" s="64"/>
      <c r="O59" s="64"/>
      <c r="P59" s="65"/>
      <c r="Q59" s="66">
        <v>2020</v>
      </c>
      <c r="R59" s="66"/>
      <c r="S59" s="66"/>
      <c r="T59" s="66"/>
      <c r="U59" s="66"/>
      <c r="V59" s="66"/>
      <c r="W59" s="66"/>
      <c r="X59" s="72">
        <v>2020</v>
      </c>
      <c r="Y59" s="73"/>
      <c r="Z59" s="73"/>
      <c r="AA59" s="73"/>
      <c r="AB59" s="73"/>
      <c r="AC59" s="74"/>
      <c r="AD59" s="72">
        <v>2020</v>
      </c>
      <c r="AE59" s="73"/>
      <c r="AF59" s="73"/>
      <c r="AG59" s="73"/>
      <c r="AH59" s="73"/>
      <c r="AI59" s="74"/>
      <c r="AJ59" s="68">
        <v>100</v>
      </c>
      <c r="AK59" s="68"/>
      <c r="AL59" s="68"/>
      <c r="AM59" s="68"/>
      <c r="AN59" s="68"/>
      <c r="AO59" s="68"/>
      <c r="AP59" s="53">
        <v>0.436</v>
      </c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>
        <v>0.436</v>
      </c>
      <c r="BC59" s="53"/>
      <c r="BD59" s="53"/>
      <c r="BE59" s="53"/>
      <c r="BF59" s="53"/>
      <c r="BG59" s="53"/>
      <c r="BH59" s="53">
        <f>0.003464+0.00415+0.139729+0.142914</f>
        <v>0.290257</v>
      </c>
      <c r="BI59" s="53"/>
      <c r="BJ59" s="53"/>
      <c r="BK59" s="53"/>
      <c r="BL59" s="53"/>
      <c r="BM59" s="53"/>
      <c r="BN59" s="53">
        <v>0</v>
      </c>
      <c r="BO59" s="53"/>
      <c r="BP59" s="53"/>
      <c r="BQ59" s="53"/>
      <c r="BR59" s="53"/>
      <c r="BS59" s="53"/>
      <c r="BT59" s="53">
        <f>BZ59+CF59+CL59</f>
        <v>-0.15335700000000002</v>
      </c>
      <c r="BU59" s="53"/>
      <c r="BV59" s="53"/>
      <c r="BW59" s="53"/>
      <c r="BX59" s="53"/>
      <c r="BY59" s="53"/>
      <c r="BZ59" s="53">
        <f>0.288295-BB59</f>
        <v>-0.14770499999999998</v>
      </c>
      <c r="CA59" s="53"/>
      <c r="CB59" s="53"/>
      <c r="CC59" s="53"/>
      <c r="CD59" s="53"/>
      <c r="CE59" s="53"/>
      <c r="CF59" s="53">
        <v>0</v>
      </c>
      <c r="CG59" s="53"/>
      <c r="CH59" s="53"/>
      <c r="CI59" s="53"/>
      <c r="CJ59" s="53"/>
      <c r="CK59" s="53"/>
      <c r="CL59" s="53">
        <f>0.282643-0.288295</f>
        <v>-0.005652000000000046</v>
      </c>
      <c r="CM59" s="53"/>
      <c r="CN59" s="53"/>
      <c r="CO59" s="53"/>
      <c r="CP59" s="53"/>
      <c r="CQ59" s="53"/>
      <c r="CR59" s="141" t="s">
        <v>325</v>
      </c>
      <c r="CS59" s="134"/>
      <c r="CT59" s="134"/>
      <c r="CU59" s="134"/>
      <c r="CV59" s="134"/>
      <c r="CW59" s="135"/>
    </row>
    <row r="60" spans="3:101" s="17" customFormat="1" ht="15.75" customHeight="1">
      <c r="C60" s="62" t="s">
        <v>210</v>
      </c>
      <c r="D60" s="62"/>
      <c r="E60" s="62"/>
      <c r="F60" s="63" t="s">
        <v>261</v>
      </c>
      <c r="G60" s="64"/>
      <c r="H60" s="64"/>
      <c r="I60" s="64"/>
      <c r="J60" s="64"/>
      <c r="K60" s="64"/>
      <c r="L60" s="64"/>
      <c r="M60" s="64"/>
      <c r="N60" s="64"/>
      <c r="O60" s="64"/>
      <c r="P60" s="65"/>
      <c r="Q60" s="66">
        <v>2020</v>
      </c>
      <c r="R60" s="66"/>
      <c r="S60" s="66"/>
      <c r="T60" s="66"/>
      <c r="U60" s="66"/>
      <c r="V60" s="66"/>
      <c r="W60" s="66"/>
      <c r="X60" s="72">
        <v>2020</v>
      </c>
      <c r="Y60" s="73"/>
      <c r="Z60" s="73"/>
      <c r="AA60" s="73"/>
      <c r="AB60" s="73"/>
      <c r="AC60" s="74"/>
      <c r="AD60" s="72">
        <v>2020</v>
      </c>
      <c r="AE60" s="73"/>
      <c r="AF60" s="73"/>
      <c r="AG60" s="73"/>
      <c r="AH60" s="73"/>
      <c r="AI60" s="74"/>
      <c r="AJ60" s="68">
        <v>100</v>
      </c>
      <c r="AK60" s="68"/>
      <c r="AL60" s="68"/>
      <c r="AM60" s="68"/>
      <c r="AN60" s="68"/>
      <c r="AO60" s="68"/>
      <c r="AP60" s="53">
        <v>0.255</v>
      </c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>
        <v>0.255</v>
      </c>
      <c r="BC60" s="53"/>
      <c r="BD60" s="53"/>
      <c r="BE60" s="53"/>
      <c r="BF60" s="53"/>
      <c r="BG60" s="53"/>
      <c r="BH60" s="53">
        <f>0.002922+0.00484169+0.136017+0.018341</f>
        <v>0.16212168999999998</v>
      </c>
      <c r="BI60" s="53"/>
      <c r="BJ60" s="53"/>
      <c r="BK60" s="53"/>
      <c r="BL60" s="53"/>
      <c r="BM60" s="53"/>
      <c r="BN60" s="53">
        <v>0</v>
      </c>
      <c r="BO60" s="53"/>
      <c r="BP60" s="53"/>
      <c r="BQ60" s="53"/>
      <c r="BR60" s="53"/>
      <c r="BS60" s="53"/>
      <c r="BT60" s="53">
        <f>BZ60+CF60+CL60</f>
        <v>-0.118983</v>
      </c>
      <c r="BU60" s="53"/>
      <c r="BV60" s="53"/>
      <c r="BW60" s="53"/>
      <c r="BX60" s="53"/>
      <c r="BY60" s="53"/>
      <c r="BZ60" s="53">
        <f>0.192951-BB60</f>
        <v>-0.06204899999999999</v>
      </c>
      <c r="CA60" s="53"/>
      <c r="CB60" s="53"/>
      <c r="CC60" s="53"/>
      <c r="CD60" s="53"/>
      <c r="CE60" s="53"/>
      <c r="CF60" s="53">
        <v>0</v>
      </c>
      <c r="CG60" s="53"/>
      <c r="CH60" s="53"/>
      <c r="CI60" s="53"/>
      <c r="CJ60" s="53"/>
      <c r="CK60" s="53"/>
      <c r="CL60" s="53">
        <f>0.136017-0.192951</f>
        <v>-0.05693400000000001</v>
      </c>
      <c r="CM60" s="53"/>
      <c r="CN60" s="53"/>
      <c r="CO60" s="53"/>
      <c r="CP60" s="53"/>
      <c r="CQ60" s="53"/>
      <c r="CR60" s="145"/>
      <c r="CS60" s="146"/>
      <c r="CT60" s="146"/>
      <c r="CU60" s="146"/>
      <c r="CV60" s="146"/>
      <c r="CW60" s="147"/>
    </row>
    <row r="61" spans="3:101" s="17" customFormat="1" ht="15.75">
      <c r="C61" s="62" t="s">
        <v>211</v>
      </c>
      <c r="D61" s="62"/>
      <c r="E61" s="62"/>
      <c r="F61" s="63" t="s">
        <v>262</v>
      </c>
      <c r="G61" s="64"/>
      <c r="H61" s="64"/>
      <c r="I61" s="64"/>
      <c r="J61" s="64"/>
      <c r="K61" s="64"/>
      <c r="L61" s="64"/>
      <c r="M61" s="64"/>
      <c r="N61" s="64"/>
      <c r="O61" s="64"/>
      <c r="P61" s="65"/>
      <c r="Q61" s="66">
        <v>2020</v>
      </c>
      <c r="R61" s="66"/>
      <c r="S61" s="66"/>
      <c r="T61" s="66"/>
      <c r="U61" s="66"/>
      <c r="V61" s="66"/>
      <c r="W61" s="66"/>
      <c r="X61" s="72">
        <v>2020</v>
      </c>
      <c r="Y61" s="73"/>
      <c r="Z61" s="73"/>
      <c r="AA61" s="73"/>
      <c r="AB61" s="73"/>
      <c r="AC61" s="74"/>
      <c r="AD61" s="72">
        <v>2020</v>
      </c>
      <c r="AE61" s="73"/>
      <c r="AF61" s="73"/>
      <c r="AG61" s="73"/>
      <c r="AH61" s="73"/>
      <c r="AI61" s="74"/>
      <c r="AJ61" s="68">
        <v>100</v>
      </c>
      <c r="AK61" s="68"/>
      <c r="AL61" s="68"/>
      <c r="AM61" s="68"/>
      <c r="AN61" s="68"/>
      <c r="AO61" s="68"/>
      <c r="AP61" s="53">
        <v>0.13</v>
      </c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>
        <v>0.13</v>
      </c>
      <c r="BC61" s="53"/>
      <c r="BD61" s="53"/>
      <c r="BE61" s="53"/>
      <c r="BF61" s="53"/>
      <c r="BG61" s="53"/>
      <c r="BH61" s="53">
        <f>0.0029+0.00415+0.065125+0.057825</f>
        <v>0.13</v>
      </c>
      <c r="BI61" s="53"/>
      <c r="BJ61" s="53"/>
      <c r="BK61" s="53"/>
      <c r="BL61" s="53"/>
      <c r="BM61" s="53"/>
      <c r="BN61" s="53">
        <f>SUM(BH61-BB61)</f>
        <v>0</v>
      </c>
      <c r="BO61" s="53"/>
      <c r="BP61" s="53"/>
      <c r="BQ61" s="53"/>
      <c r="BR61" s="53"/>
      <c r="BS61" s="53"/>
      <c r="BT61" s="53">
        <f>BZ61+CF61+CL61</f>
        <v>0</v>
      </c>
      <c r="BU61" s="53"/>
      <c r="BV61" s="53"/>
      <c r="BW61" s="53"/>
      <c r="BX61" s="53"/>
      <c r="BY61" s="53"/>
      <c r="BZ61" s="53">
        <v>0</v>
      </c>
      <c r="CA61" s="53"/>
      <c r="CB61" s="53"/>
      <c r="CC61" s="53"/>
      <c r="CD61" s="53"/>
      <c r="CE61" s="53"/>
      <c r="CF61" s="53">
        <v>0</v>
      </c>
      <c r="CG61" s="53"/>
      <c r="CH61" s="53"/>
      <c r="CI61" s="53"/>
      <c r="CJ61" s="53"/>
      <c r="CK61" s="53"/>
      <c r="CL61" s="53">
        <v>0</v>
      </c>
      <c r="CM61" s="53"/>
      <c r="CN61" s="53"/>
      <c r="CO61" s="53"/>
      <c r="CP61" s="53"/>
      <c r="CQ61" s="53"/>
      <c r="CR61" s="131"/>
      <c r="CS61" s="132"/>
      <c r="CT61" s="132"/>
      <c r="CU61" s="132"/>
      <c r="CV61" s="132"/>
      <c r="CW61" s="133"/>
    </row>
    <row r="62" spans="3:102" s="17" customFormat="1" ht="15.75">
      <c r="C62" s="62" t="s">
        <v>212</v>
      </c>
      <c r="D62" s="62"/>
      <c r="E62" s="62"/>
      <c r="F62" s="63" t="s">
        <v>263</v>
      </c>
      <c r="G62" s="64"/>
      <c r="H62" s="64"/>
      <c r="I62" s="64"/>
      <c r="J62" s="64"/>
      <c r="K62" s="64"/>
      <c r="L62" s="64"/>
      <c r="M62" s="64"/>
      <c r="N62" s="64"/>
      <c r="O62" s="64"/>
      <c r="P62" s="65"/>
      <c r="Q62" s="66">
        <v>2020</v>
      </c>
      <c r="R62" s="66"/>
      <c r="S62" s="66"/>
      <c r="T62" s="66"/>
      <c r="U62" s="66"/>
      <c r="V62" s="66"/>
      <c r="W62" s="66"/>
      <c r="X62" s="72">
        <v>2020</v>
      </c>
      <c r="Y62" s="73"/>
      <c r="Z62" s="73"/>
      <c r="AA62" s="73"/>
      <c r="AB62" s="73"/>
      <c r="AC62" s="74"/>
      <c r="AD62" s="72">
        <v>2020</v>
      </c>
      <c r="AE62" s="73"/>
      <c r="AF62" s="73"/>
      <c r="AG62" s="73"/>
      <c r="AH62" s="73"/>
      <c r="AI62" s="74"/>
      <c r="AJ62" s="68">
        <v>100</v>
      </c>
      <c r="AK62" s="68"/>
      <c r="AL62" s="68"/>
      <c r="AM62" s="68"/>
      <c r="AN62" s="68"/>
      <c r="AO62" s="68"/>
      <c r="AP62" s="53">
        <v>0.126</v>
      </c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>
        <v>0.126</v>
      </c>
      <c r="BC62" s="53"/>
      <c r="BD62" s="53"/>
      <c r="BE62" s="53"/>
      <c r="BF62" s="53"/>
      <c r="BG62" s="53"/>
      <c r="BH62" s="77">
        <v>0.125556</v>
      </c>
      <c r="BI62" s="77"/>
      <c r="BJ62" s="77"/>
      <c r="BK62" s="77"/>
      <c r="BL62" s="77"/>
      <c r="BM62" s="77"/>
      <c r="BN62" s="53">
        <v>0</v>
      </c>
      <c r="BO62" s="53"/>
      <c r="BP62" s="53"/>
      <c r="BQ62" s="53"/>
      <c r="BR62" s="53"/>
      <c r="BS62" s="53"/>
      <c r="BT62" s="138">
        <f>SUM(BZ62:CQ62)</f>
        <v>-0.00044399999999999995</v>
      </c>
      <c r="BU62" s="138"/>
      <c r="BV62" s="138"/>
      <c r="BW62" s="138"/>
      <c r="BX62" s="138"/>
      <c r="BY62" s="138"/>
      <c r="BZ62" s="77">
        <f>0.128067-0.126</f>
        <v>0.0020669999999999855</v>
      </c>
      <c r="CA62" s="77"/>
      <c r="CB62" s="77"/>
      <c r="CC62" s="77"/>
      <c r="CD62" s="77"/>
      <c r="CE62" s="77"/>
      <c r="CF62" s="77">
        <v>0</v>
      </c>
      <c r="CG62" s="77"/>
      <c r="CH62" s="77"/>
      <c r="CI62" s="77"/>
      <c r="CJ62" s="77"/>
      <c r="CK62" s="77"/>
      <c r="CL62" s="77">
        <f>0.125556-0.128067</f>
        <v>-0.0025109999999999855</v>
      </c>
      <c r="CM62" s="77"/>
      <c r="CN62" s="77"/>
      <c r="CO62" s="77"/>
      <c r="CP62" s="77"/>
      <c r="CQ62" s="77"/>
      <c r="CR62" s="141" t="s">
        <v>325</v>
      </c>
      <c r="CS62" s="134"/>
      <c r="CT62" s="134"/>
      <c r="CU62" s="134"/>
      <c r="CV62" s="134"/>
      <c r="CW62" s="135"/>
      <c r="CX62" s="19"/>
    </row>
    <row r="63" spans="3:101" s="17" customFormat="1" ht="15.75" customHeight="1">
      <c r="C63" s="62" t="s">
        <v>213</v>
      </c>
      <c r="D63" s="62"/>
      <c r="E63" s="62"/>
      <c r="F63" s="63" t="s">
        <v>264</v>
      </c>
      <c r="G63" s="64"/>
      <c r="H63" s="64"/>
      <c r="I63" s="64"/>
      <c r="J63" s="64"/>
      <c r="K63" s="64"/>
      <c r="L63" s="64"/>
      <c r="M63" s="64"/>
      <c r="N63" s="64"/>
      <c r="O63" s="64"/>
      <c r="P63" s="65"/>
      <c r="Q63" s="66">
        <v>2020</v>
      </c>
      <c r="R63" s="66"/>
      <c r="S63" s="66"/>
      <c r="T63" s="66"/>
      <c r="U63" s="66"/>
      <c r="V63" s="66"/>
      <c r="W63" s="66"/>
      <c r="X63" s="72">
        <v>2020</v>
      </c>
      <c r="Y63" s="73"/>
      <c r="Z63" s="73"/>
      <c r="AA63" s="73"/>
      <c r="AB63" s="73"/>
      <c r="AC63" s="74"/>
      <c r="AD63" s="72">
        <v>2020</v>
      </c>
      <c r="AE63" s="73"/>
      <c r="AF63" s="73"/>
      <c r="AG63" s="73"/>
      <c r="AH63" s="73"/>
      <c r="AI63" s="74"/>
      <c r="AJ63" s="68">
        <v>100</v>
      </c>
      <c r="AK63" s="68"/>
      <c r="AL63" s="68"/>
      <c r="AM63" s="68"/>
      <c r="AN63" s="68"/>
      <c r="AO63" s="68"/>
      <c r="AP63" s="53">
        <v>0.13</v>
      </c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>
        <v>0.13</v>
      </c>
      <c r="BC63" s="53"/>
      <c r="BD63" s="53"/>
      <c r="BE63" s="53"/>
      <c r="BF63" s="53"/>
      <c r="BG63" s="53"/>
      <c r="BH63" s="53">
        <f>0.0029+0.00484169+0.107625</f>
        <v>0.11536669</v>
      </c>
      <c r="BI63" s="53"/>
      <c r="BJ63" s="53"/>
      <c r="BK63" s="53"/>
      <c r="BL63" s="53"/>
      <c r="BM63" s="53"/>
      <c r="BN63" s="53">
        <v>0</v>
      </c>
      <c r="BO63" s="53"/>
      <c r="BP63" s="53"/>
      <c r="BQ63" s="53"/>
      <c r="BR63" s="53"/>
      <c r="BS63" s="53"/>
      <c r="BT63" s="53">
        <f>BZ63+CF63+CL63</f>
        <v>-0.022375000000000006</v>
      </c>
      <c r="BU63" s="53"/>
      <c r="BV63" s="53"/>
      <c r="BW63" s="53"/>
      <c r="BX63" s="53"/>
      <c r="BY63" s="53"/>
      <c r="BZ63" s="53">
        <f>0.109942-0.13</f>
        <v>-0.020058000000000006</v>
      </c>
      <c r="CA63" s="53"/>
      <c r="CB63" s="53"/>
      <c r="CC63" s="53"/>
      <c r="CD63" s="53"/>
      <c r="CE63" s="53"/>
      <c r="CF63" s="77">
        <v>0</v>
      </c>
      <c r="CG63" s="77"/>
      <c r="CH63" s="77"/>
      <c r="CI63" s="77"/>
      <c r="CJ63" s="77"/>
      <c r="CK63" s="77"/>
      <c r="CL63" s="77">
        <f>0.107625-0.109942</f>
        <v>-0.0023169999999999996</v>
      </c>
      <c r="CM63" s="77"/>
      <c r="CN63" s="77"/>
      <c r="CO63" s="77"/>
      <c r="CP63" s="77"/>
      <c r="CQ63" s="77"/>
      <c r="CR63" s="145"/>
      <c r="CS63" s="146"/>
      <c r="CT63" s="146"/>
      <c r="CU63" s="146"/>
      <c r="CV63" s="146"/>
      <c r="CW63" s="147"/>
    </row>
    <row r="64" spans="3:102" s="17" customFormat="1" ht="15.75" customHeight="1">
      <c r="C64" s="62" t="s">
        <v>214</v>
      </c>
      <c r="D64" s="62"/>
      <c r="E64" s="62"/>
      <c r="F64" s="63" t="s">
        <v>265</v>
      </c>
      <c r="G64" s="64"/>
      <c r="H64" s="64"/>
      <c r="I64" s="64"/>
      <c r="J64" s="64"/>
      <c r="K64" s="64"/>
      <c r="L64" s="64"/>
      <c r="M64" s="64"/>
      <c r="N64" s="64"/>
      <c r="O64" s="64"/>
      <c r="P64" s="65"/>
      <c r="Q64" s="66">
        <v>2020</v>
      </c>
      <c r="R64" s="66"/>
      <c r="S64" s="66"/>
      <c r="T64" s="66"/>
      <c r="U64" s="66"/>
      <c r="V64" s="66"/>
      <c r="W64" s="66"/>
      <c r="X64" s="72">
        <v>2020</v>
      </c>
      <c r="Y64" s="73"/>
      <c r="Z64" s="73"/>
      <c r="AA64" s="73"/>
      <c r="AB64" s="73"/>
      <c r="AC64" s="74"/>
      <c r="AD64" s="72">
        <v>2020</v>
      </c>
      <c r="AE64" s="73"/>
      <c r="AF64" s="73"/>
      <c r="AG64" s="73"/>
      <c r="AH64" s="73"/>
      <c r="AI64" s="74"/>
      <c r="AJ64" s="68">
        <v>100</v>
      </c>
      <c r="AK64" s="68"/>
      <c r="AL64" s="68"/>
      <c r="AM64" s="68"/>
      <c r="AN64" s="68"/>
      <c r="AO64" s="68"/>
      <c r="AP64" s="53">
        <v>0.26</v>
      </c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>
        <v>0.26</v>
      </c>
      <c r="BC64" s="53"/>
      <c r="BD64" s="53"/>
      <c r="BE64" s="53"/>
      <c r="BF64" s="53"/>
      <c r="BG64" s="53"/>
      <c r="BH64" s="53">
        <f>0.0029+0.15055702</f>
        <v>0.15345702</v>
      </c>
      <c r="BI64" s="53"/>
      <c r="BJ64" s="53"/>
      <c r="BK64" s="53"/>
      <c r="BL64" s="53"/>
      <c r="BM64" s="53"/>
      <c r="BN64" s="53">
        <v>0</v>
      </c>
      <c r="BO64" s="53"/>
      <c r="BP64" s="53"/>
      <c r="BQ64" s="53"/>
      <c r="BR64" s="53"/>
      <c r="BS64" s="53"/>
      <c r="BT64" s="53">
        <f>BZ64+CF64+CL64</f>
        <v>-0.1078936</v>
      </c>
      <c r="BU64" s="53"/>
      <c r="BV64" s="53"/>
      <c r="BW64" s="53"/>
      <c r="BX64" s="53"/>
      <c r="BY64" s="53"/>
      <c r="BZ64" s="53">
        <f>0.15209218-BB64</f>
        <v>-0.10790782000000002</v>
      </c>
      <c r="CA64" s="53"/>
      <c r="CB64" s="53"/>
      <c r="CC64" s="53"/>
      <c r="CD64" s="53"/>
      <c r="CE64" s="53"/>
      <c r="CF64" s="77">
        <f>0.15133171-0.15209218</f>
        <v>-0.0007604699999999853</v>
      </c>
      <c r="CG64" s="77"/>
      <c r="CH64" s="77"/>
      <c r="CI64" s="77"/>
      <c r="CJ64" s="77"/>
      <c r="CK64" s="77"/>
      <c r="CL64" s="77">
        <f>0.15133171-0.15055702</f>
        <v>0.0007746899999999945</v>
      </c>
      <c r="CM64" s="77"/>
      <c r="CN64" s="77"/>
      <c r="CO64" s="77"/>
      <c r="CP64" s="77"/>
      <c r="CQ64" s="77"/>
      <c r="CR64" s="46" t="s">
        <v>326</v>
      </c>
      <c r="CS64" s="47"/>
      <c r="CT64" s="47"/>
      <c r="CU64" s="47"/>
      <c r="CV64" s="47"/>
      <c r="CW64" s="48"/>
      <c r="CX64" s="20"/>
    </row>
    <row r="65" spans="3:101" s="17" customFormat="1" ht="18" customHeight="1">
      <c r="C65" s="62" t="s">
        <v>215</v>
      </c>
      <c r="D65" s="62"/>
      <c r="E65" s="62"/>
      <c r="F65" s="63" t="s">
        <v>266</v>
      </c>
      <c r="G65" s="64"/>
      <c r="H65" s="64"/>
      <c r="I65" s="64"/>
      <c r="J65" s="64"/>
      <c r="K65" s="64"/>
      <c r="L65" s="64"/>
      <c r="M65" s="64"/>
      <c r="N65" s="64"/>
      <c r="O65" s="64"/>
      <c r="P65" s="65"/>
      <c r="Q65" s="66">
        <v>2020</v>
      </c>
      <c r="R65" s="66"/>
      <c r="S65" s="66"/>
      <c r="T65" s="66"/>
      <c r="U65" s="66"/>
      <c r="V65" s="66"/>
      <c r="W65" s="66"/>
      <c r="X65" s="72">
        <v>2020</v>
      </c>
      <c r="Y65" s="73"/>
      <c r="Z65" s="73"/>
      <c r="AA65" s="73"/>
      <c r="AB65" s="73"/>
      <c r="AC65" s="74"/>
      <c r="AD65" s="72">
        <v>2020</v>
      </c>
      <c r="AE65" s="73"/>
      <c r="AF65" s="73"/>
      <c r="AG65" s="73"/>
      <c r="AH65" s="73"/>
      <c r="AI65" s="74"/>
      <c r="AJ65" s="68">
        <v>100</v>
      </c>
      <c r="AK65" s="68"/>
      <c r="AL65" s="68"/>
      <c r="AM65" s="68"/>
      <c r="AN65" s="68"/>
      <c r="AO65" s="68"/>
      <c r="AP65" s="53">
        <v>0.255</v>
      </c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>
        <v>0.255</v>
      </c>
      <c r="BC65" s="53"/>
      <c r="BD65" s="53"/>
      <c r="BE65" s="53"/>
      <c r="BF65" s="53"/>
      <c r="BG65" s="53"/>
      <c r="BH65" s="53">
        <f>0.0029+0.14903426</f>
        <v>0.15193426</v>
      </c>
      <c r="BI65" s="53"/>
      <c r="BJ65" s="53"/>
      <c r="BK65" s="53"/>
      <c r="BL65" s="53"/>
      <c r="BM65" s="53"/>
      <c r="BN65" s="53">
        <v>0</v>
      </c>
      <c r="BO65" s="53"/>
      <c r="BP65" s="53"/>
      <c r="BQ65" s="53"/>
      <c r="BR65" s="53"/>
      <c r="BS65" s="53"/>
      <c r="BT65" s="53">
        <f>BZ65+CF65+CL65</f>
        <v>-0.10596574</v>
      </c>
      <c r="BU65" s="53"/>
      <c r="BV65" s="53"/>
      <c r="BW65" s="53"/>
      <c r="BX65" s="53"/>
      <c r="BY65" s="53"/>
      <c r="BZ65" s="53">
        <f>0.15052256-BB65</f>
        <v>-0.10447744</v>
      </c>
      <c r="CA65" s="53"/>
      <c r="CB65" s="53"/>
      <c r="CC65" s="53"/>
      <c r="CD65" s="53"/>
      <c r="CE65" s="53"/>
      <c r="CF65" s="77">
        <f>0.14976995-0.15052256</f>
        <v>-0.0007526099999999869</v>
      </c>
      <c r="CG65" s="77"/>
      <c r="CH65" s="77"/>
      <c r="CI65" s="77"/>
      <c r="CJ65" s="77"/>
      <c r="CK65" s="77"/>
      <c r="CL65" s="77">
        <f>0.14903426-0.14976995</f>
        <v>-0.0007356900000000111</v>
      </c>
      <c r="CM65" s="77"/>
      <c r="CN65" s="77"/>
      <c r="CO65" s="77"/>
      <c r="CP65" s="77"/>
      <c r="CQ65" s="77"/>
      <c r="CR65" s="49"/>
      <c r="CS65" s="50"/>
      <c r="CT65" s="50"/>
      <c r="CU65" s="50"/>
      <c r="CV65" s="50"/>
      <c r="CW65" s="51"/>
    </row>
    <row r="66" spans="3:101" s="17" customFormat="1" ht="15.75">
      <c r="C66" s="62" t="s">
        <v>216</v>
      </c>
      <c r="D66" s="62"/>
      <c r="E66" s="62"/>
      <c r="F66" s="63" t="s">
        <v>267</v>
      </c>
      <c r="G66" s="64"/>
      <c r="H66" s="64"/>
      <c r="I66" s="64"/>
      <c r="J66" s="64"/>
      <c r="K66" s="64"/>
      <c r="L66" s="64"/>
      <c r="M66" s="64"/>
      <c r="N66" s="64"/>
      <c r="O66" s="64"/>
      <c r="P66" s="65"/>
      <c r="Q66" s="66">
        <v>2020</v>
      </c>
      <c r="R66" s="66"/>
      <c r="S66" s="66"/>
      <c r="T66" s="66"/>
      <c r="U66" s="66"/>
      <c r="V66" s="66"/>
      <c r="W66" s="66"/>
      <c r="X66" s="72">
        <v>2020</v>
      </c>
      <c r="Y66" s="73"/>
      <c r="Z66" s="73"/>
      <c r="AA66" s="73"/>
      <c r="AB66" s="73"/>
      <c r="AC66" s="74"/>
      <c r="AD66" s="67"/>
      <c r="AE66" s="67"/>
      <c r="AF66" s="67"/>
      <c r="AG66" s="67"/>
      <c r="AH66" s="67"/>
      <c r="AI66" s="67"/>
      <c r="AJ66" s="68"/>
      <c r="AK66" s="68"/>
      <c r="AL66" s="68"/>
      <c r="AM66" s="68"/>
      <c r="AN66" s="68"/>
      <c r="AO66" s="68"/>
      <c r="AP66" s="53">
        <v>0.375</v>
      </c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>
        <v>0.375</v>
      </c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>
        <f>SUM(BH66-BB66)</f>
        <v>-0.375</v>
      </c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127"/>
      <c r="CS66" s="127"/>
      <c r="CT66" s="127"/>
      <c r="CU66" s="127"/>
      <c r="CV66" s="127"/>
      <c r="CW66" s="127"/>
    </row>
    <row r="67" spans="3:101" s="17" customFormat="1" ht="15.75">
      <c r="C67" s="62" t="s">
        <v>217</v>
      </c>
      <c r="D67" s="62"/>
      <c r="E67" s="62"/>
      <c r="F67" s="63" t="s">
        <v>268</v>
      </c>
      <c r="G67" s="64"/>
      <c r="H67" s="64"/>
      <c r="I67" s="64"/>
      <c r="J67" s="64"/>
      <c r="K67" s="64"/>
      <c r="L67" s="64"/>
      <c r="M67" s="64"/>
      <c r="N67" s="64"/>
      <c r="O67" s="64"/>
      <c r="P67" s="65"/>
      <c r="Q67" s="66">
        <v>2020</v>
      </c>
      <c r="R67" s="66"/>
      <c r="S67" s="66"/>
      <c r="T67" s="66"/>
      <c r="U67" s="66"/>
      <c r="V67" s="66"/>
      <c r="W67" s="66"/>
      <c r="X67" s="72">
        <v>2020</v>
      </c>
      <c r="Y67" s="73"/>
      <c r="Z67" s="73"/>
      <c r="AA67" s="73"/>
      <c r="AB67" s="73"/>
      <c r="AC67" s="74"/>
      <c r="AD67" s="67"/>
      <c r="AE67" s="67"/>
      <c r="AF67" s="67"/>
      <c r="AG67" s="67"/>
      <c r="AH67" s="67"/>
      <c r="AI67" s="67"/>
      <c r="AJ67" s="68"/>
      <c r="AK67" s="68"/>
      <c r="AL67" s="68"/>
      <c r="AM67" s="68"/>
      <c r="AN67" s="68"/>
      <c r="AO67" s="68"/>
      <c r="AP67" s="53">
        <v>0.26</v>
      </c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>
        <v>0.26</v>
      </c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>
        <f>SUM(BH67-BB67)</f>
        <v>-0.26</v>
      </c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127"/>
      <c r="CS67" s="127"/>
      <c r="CT67" s="127"/>
      <c r="CU67" s="127"/>
      <c r="CV67" s="127"/>
      <c r="CW67" s="127"/>
    </row>
    <row r="68" spans="3:101" s="17" customFormat="1" ht="15.75">
      <c r="C68" s="62" t="s">
        <v>218</v>
      </c>
      <c r="D68" s="62"/>
      <c r="E68" s="62"/>
      <c r="F68" s="63" t="s">
        <v>269</v>
      </c>
      <c r="G68" s="64"/>
      <c r="H68" s="64"/>
      <c r="I68" s="64"/>
      <c r="J68" s="64"/>
      <c r="K68" s="64"/>
      <c r="L68" s="64"/>
      <c r="M68" s="64"/>
      <c r="N68" s="64"/>
      <c r="O68" s="64"/>
      <c r="P68" s="65"/>
      <c r="Q68" s="66">
        <v>2020</v>
      </c>
      <c r="R68" s="66"/>
      <c r="S68" s="66"/>
      <c r="T68" s="66"/>
      <c r="U68" s="66"/>
      <c r="V68" s="66"/>
      <c r="W68" s="66"/>
      <c r="X68" s="72">
        <v>2020</v>
      </c>
      <c r="Y68" s="73"/>
      <c r="Z68" s="73"/>
      <c r="AA68" s="73"/>
      <c r="AB68" s="73"/>
      <c r="AC68" s="74"/>
      <c r="AD68" s="84">
        <v>2020</v>
      </c>
      <c r="AE68" s="84"/>
      <c r="AF68" s="84"/>
      <c r="AG68" s="84"/>
      <c r="AH68" s="84"/>
      <c r="AI68" s="84"/>
      <c r="AJ68" s="68">
        <v>100</v>
      </c>
      <c r="AK68" s="68"/>
      <c r="AL68" s="68"/>
      <c r="AM68" s="68"/>
      <c r="AN68" s="68"/>
      <c r="AO68" s="68"/>
      <c r="AP68" s="53">
        <v>0.746</v>
      </c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>
        <v>0.746</v>
      </c>
      <c r="BC68" s="53"/>
      <c r="BD68" s="53"/>
      <c r="BE68" s="53"/>
      <c r="BF68" s="53"/>
      <c r="BG68" s="53"/>
      <c r="BH68" s="53">
        <f>0.009367+0.0009+0.00484169+0.26724+0.259519+0.121829</f>
        <v>0.6636966899999999</v>
      </c>
      <c r="BI68" s="53"/>
      <c r="BJ68" s="53"/>
      <c r="BK68" s="53"/>
      <c r="BL68" s="53"/>
      <c r="BM68" s="53"/>
      <c r="BN68" s="53">
        <v>0</v>
      </c>
      <c r="BO68" s="53"/>
      <c r="BP68" s="53"/>
      <c r="BQ68" s="53"/>
      <c r="BR68" s="53"/>
      <c r="BS68" s="53"/>
      <c r="BT68" s="53">
        <f aca="true" t="shared" si="1" ref="BT68:BT74">SUM(BZ68:CQ68)</f>
        <v>-0.09741199999999994</v>
      </c>
      <c r="BU68" s="53"/>
      <c r="BV68" s="53"/>
      <c r="BW68" s="53"/>
      <c r="BX68" s="53"/>
      <c r="BY68" s="53"/>
      <c r="BZ68" s="53">
        <f>0.671011-BB68</f>
        <v>-0.07498899999999997</v>
      </c>
      <c r="CA68" s="53"/>
      <c r="CB68" s="53"/>
      <c r="CC68" s="53"/>
      <c r="CD68" s="53"/>
      <c r="CE68" s="53"/>
      <c r="CF68" s="53">
        <v>0</v>
      </c>
      <c r="CG68" s="53"/>
      <c r="CH68" s="53"/>
      <c r="CI68" s="53"/>
      <c r="CJ68" s="53"/>
      <c r="CK68" s="53"/>
      <c r="CL68" s="53">
        <f>0.648588-0.671011</f>
        <v>-0.02242299999999997</v>
      </c>
      <c r="CM68" s="53"/>
      <c r="CN68" s="53"/>
      <c r="CO68" s="53"/>
      <c r="CP68" s="53"/>
      <c r="CQ68" s="53"/>
      <c r="CR68" s="141" t="s">
        <v>325</v>
      </c>
      <c r="CS68" s="134"/>
      <c r="CT68" s="134"/>
      <c r="CU68" s="134"/>
      <c r="CV68" s="134"/>
      <c r="CW68" s="135"/>
    </row>
    <row r="69" spans="3:101" s="17" customFormat="1" ht="15.75">
      <c r="C69" s="62" t="s">
        <v>219</v>
      </c>
      <c r="D69" s="62"/>
      <c r="E69" s="62"/>
      <c r="F69" s="63" t="s">
        <v>270</v>
      </c>
      <c r="G69" s="64"/>
      <c r="H69" s="64"/>
      <c r="I69" s="64"/>
      <c r="J69" s="64"/>
      <c r="K69" s="64"/>
      <c r="L69" s="64"/>
      <c r="M69" s="64"/>
      <c r="N69" s="64"/>
      <c r="O69" s="64"/>
      <c r="P69" s="65"/>
      <c r="Q69" s="66">
        <v>2020</v>
      </c>
      <c r="R69" s="66"/>
      <c r="S69" s="66"/>
      <c r="T69" s="66"/>
      <c r="U69" s="66"/>
      <c r="V69" s="66"/>
      <c r="W69" s="66"/>
      <c r="X69" s="72">
        <v>2020</v>
      </c>
      <c r="Y69" s="73"/>
      <c r="Z69" s="73"/>
      <c r="AA69" s="73"/>
      <c r="AB69" s="73"/>
      <c r="AC69" s="74"/>
      <c r="AD69" s="84">
        <v>2020</v>
      </c>
      <c r="AE69" s="84"/>
      <c r="AF69" s="84"/>
      <c r="AG69" s="84"/>
      <c r="AH69" s="84"/>
      <c r="AI69" s="84"/>
      <c r="AJ69" s="68">
        <v>100</v>
      </c>
      <c r="AK69" s="68"/>
      <c r="AL69" s="68"/>
      <c r="AM69" s="68"/>
      <c r="AN69" s="68"/>
      <c r="AO69" s="68"/>
      <c r="AP69" s="53">
        <v>0.13</v>
      </c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>
        <v>0.13</v>
      </c>
      <c r="BC69" s="53"/>
      <c r="BD69" s="53"/>
      <c r="BE69" s="53"/>
      <c r="BF69" s="53"/>
      <c r="BG69" s="53"/>
      <c r="BH69" s="77">
        <f>0.0029+0.00207501+0.108097</f>
        <v>0.11307201</v>
      </c>
      <c r="BI69" s="77"/>
      <c r="BJ69" s="77"/>
      <c r="BK69" s="77"/>
      <c r="BL69" s="77"/>
      <c r="BM69" s="77"/>
      <c r="BN69" s="53">
        <v>0</v>
      </c>
      <c r="BO69" s="53"/>
      <c r="BP69" s="53"/>
      <c r="BQ69" s="53"/>
      <c r="BR69" s="53"/>
      <c r="BS69" s="53"/>
      <c r="BT69" s="53">
        <f t="shared" si="1"/>
        <v>-0.021903000000000006</v>
      </c>
      <c r="BU69" s="53"/>
      <c r="BV69" s="53"/>
      <c r="BW69" s="53"/>
      <c r="BX69" s="53"/>
      <c r="BY69" s="53"/>
      <c r="BZ69" s="53">
        <f>0.114307-BB69</f>
        <v>-0.015693</v>
      </c>
      <c r="CA69" s="53"/>
      <c r="CB69" s="53"/>
      <c r="CC69" s="53"/>
      <c r="CD69" s="53"/>
      <c r="CE69" s="53"/>
      <c r="CF69" s="53">
        <v>0</v>
      </c>
      <c r="CG69" s="53"/>
      <c r="CH69" s="53"/>
      <c r="CI69" s="53"/>
      <c r="CJ69" s="53"/>
      <c r="CK69" s="53"/>
      <c r="CL69" s="53">
        <f>0.108097-0.114307</f>
        <v>-0.006210000000000007</v>
      </c>
      <c r="CM69" s="53"/>
      <c r="CN69" s="53"/>
      <c r="CO69" s="53"/>
      <c r="CP69" s="53"/>
      <c r="CQ69" s="53"/>
      <c r="CR69" s="142"/>
      <c r="CS69" s="143"/>
      <c r="CT69" s="143"/>
      <c r="CU69" s="143"/>
      <c r="CV69" s="143"/>
      <c r="CW69" s="144"/>
    </row>
    <row r="70" spans="3:101" s="17" customFormat="1" ht="15.75">
      <c r="C70" s="62" t="s">
        <v>220</v>
      </c>
      <c r="D70" s="62"/>
      <c r="E70" s="62"/>
      <c r="F70" s="63" t="s">
        <v>271</v>
      </c>
      <c r="G70" s="64"/>
      <c r="H70" s="64"/>
      <c r="I70" s="64"/>
      <c r="J70" s="64"/>
      <c r="K70" s="64"/>
      <c r="L70" s="64"/>
      <c r="M70" s="64"/>
      <c r="N70" s="64"/>
      <c r="O70" s="64"/>
      <c r="P70" s="65"/>
      <c r="Q70" s="66">
        <v>2020</v>
      </c>
      <c r="R70" s="66"/>
      <c r="S70" s="66"/>
      <c r="T70" s="66"/>
      <c r="U70" s="66"/>
      <c r="V70" s="66"/>
      <c r="W70" s="66"/>
      <c r="X70" s="72">
        <v>2020</v>
      </c>
      <c r="Y70" s="73"/>
      <c r="Z70" s="73"/>
      <c r="AA70" s="73"/>
      <c r="AB70" s="73"/>
      <c r="AC70" s="74"/>
      <c r="AD70" s="84">
        <v>2020</v>
      </c>
      <c r="AE70" s="84"/>
      <c r="AF70" s="84"/>
      <c r="AG70" s="84"/>
      <c r="AH70" s="84"/>
      <c r="AI70" s="84"/>
      <c r="AJ70" s="68">
        <v>100</v>
      </c>
      <c r="AK70" s="68"/>
      <c r="AL70" s="68"/>
      <c r="AM70" s="68"/>
      <c r="AN70" s="68"/>
      <c r="AO70" s="68"/>
      <c r="AP70" s="53">
        <v>0.376</v>
      </c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>
        <v>0.376</v>
      </c>
      <c r="BC70" s="53"/>
      <c r="BD70" s="53"/>
      <c r="BE70" s="53"/>
      <c r="BF70" s="53"/>
      <c r="BG70" s="53"/>
      <c r="BH70" s="53">
        <f>0.0029+0.00553336+0.057111</f>
        <v>0.06554436</v>
      </c>
      <c r="BI70" s="53"/>
      <c r="BJ70" s="53"/>
      <c r="BK70" s="53"/>
      <c r="BL70" s="53"/>
      <c r="BM70" s="53"/>
      <c r="BN70" s="53">
        <v>0</v>
      </c>
      <c r="BO70" s="53"/>
      <c r="BP70" s="53"/>
      <c r="BQ70" s="53"/>
      <c r="BR70" s="53"/>
      <c r="BS70" s="53"/>
      <c r="BT70" s="53">
        <f t="shared" si="1"/>
        <v>-0.318889</v>
      </c>
      <c r="BU70" s="53"/>
      <c r="BV70" s="53"/>
      <c r="BW70" s="53"/>
      <c r="BX70" s="53"/>
      <c r="BY70" s="53"/>
      <c r="BZ70" s="53">
        <f>0.064572-BB70</f>
        <v>-0.311428</v>
      </c>
      <c r="CA70" s="53"/>
      <c r="CB70" s="53"/>
      <c r="CC70" s="53"/>
      <c r="CD70" s="53"/>
      <c r="CE70" s="53"/>
      <c r="CF70" s="53">
        <v>0</v>
      </c>
      <c r="CG70" s="53"/>
      <c r="CH70" s="53"/>
      <c r="CI70" s="53"/>
      <c r="CJ70" s="53"/>
      <c r="CK70" s="53"/>
      <c r="CL70" s="53">
        <f>0.057111-0.064572</f>
        <v>-0.007461000000000002</v>
      </c>
      <c r="CM70" s="53"/>
      <c r="CN70" s="53"/>
      <c r="CO70" s="53"/>
      <c r="CP70" s="53"/>
      <c r="CQ70" s="53"/>
      <c r="CR70" s="142"/>
      <c r="CS70" s="143"/>
      <c r="CT70" s="143"/>
      <c r="CU70" s="143"/>
      <c r="CV70" s="143"/>
      <c r="CW70" s="144"/>
    </row>
    <row r="71" spans="3:101" s="17" customFormat="1" ht="15.75">
      <c r="C71" s="62" t="s">
        <v>221</v>
      </c>
      <c r="D71" s="62"/>
      <c r="E71" s="62"/>
      <c r="F71" s="63" t="s">
        <v>272</v>
      </c>
      <c r="G71" s="64"/>
      <c r="H71" s="64"/>
      <c r="I71" s="64"/>
      <c r="J71" s="64"/>
      <c r="K71" s="64"/>
      <c r="L71" s="64"/>
      <c r="M71" s="64"/>
      <c r="N71" s="64"/>
      <c r="O71" s="64"/>
      <c r="P71" s="65"/>
      <c r="Q71" s="66">
        <v>2020</v>
      </c>
      <c r="R71" s="66"/>
      <c r="S71" s="66"/>
      <c r="T71" s="66"/>
      <c r="U71" s="66"/>
      <c r="V71" s="66"/>
      <c r="W71" s="66"/>
      <c r="X71" s="72">
        <v>2020</v>
      </c>
      <c r="Y71" s="73"/>
      <c r="Z71" s="73"/>
      <c r="AA71" s="73"/>
      <c r="AB71" s="73"/>
      <c r="AC71" s="74"/>
      <c r="AD71" s="84">
        <v>2020</v>
      </c>
      <c r="AE71" s="84"/>
      <c r="AF71" s="84"/>
      <c r="AG71" s="84"/>
      <c r="AH71" s="84"/>
      <c r="AI71" s="84"/>
      <c r="AJ71" s="68">
        <v>100</v>
      </c>
      <c r="AK71" s="68"/>
      <c r="AL71" s="68"/>
      <c r="AM71" s="68"/>
      <c r="AN71" s="68"/>
      <c r="AO71" s="68"/>
      <c r="AP71" s="53">
        <v>0.13</v>
      </c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>
        <v>0.13</v>
      </c>
      <c r="BC71" s="53"/>
      <c r="BD71" s="53"/>
      <c r="BE71" s="53"/>
      <c r="BF71" s="53"/>
      <c r="BG71" s="53"/>
      <c r="BH71" s="77">
        <f>0.00276668+0.08735</f>
        <v>0.09011667999999999</v>
      </c>
      <c r="BI71" s="77"/>
      <c r="BJ71" s="77"/>
      <c r="BK71" s="77"/>
      <c r="BL71" s="77"/>
      <c r="BM71" s="77"/>
      <c r="BN71" s="53">
        <v>0</v>
      </c>
      <c r="BO71" s="53"/>
      <c r="BP71" s="53"/>
      <c r="BQ71" s="53"/>
      <c r="BR71" s="53"/>
      <c r="BS71" s="53"/>
      <c r="BT71" s="53">
        <f t="shared" si="1"/>
        <v>-0.041650000000000006</v>
      </c>
      <c r="BU71" s="53"/>
      <c r="BV71" s="53"/>
      <c r="BW71" s="53"/>
      <c r="BX71" s="53"/>
      <c r="BY71" s="53"/>
      <c r="BZ71" s="53">
        <f>0.09221-BB71</f>
        <v>-0.037790000000000004</v>
      </c>
      <c r="CA71" s="53"/>
      <c r="CB71" s="53"/>
      <c r="CC71" s="53"/>
      <c r="CD71" s="53"/>
      <c r="CE71" s="53"/>
      <c r="CF71" s="53">
        <v>0</v>
      </c>
      <c r="CG71" s="53"/>
      <c r="CH71" s="53"/>
      <c r="CI71" s="53"/>
      <c r="CJ71" s="53"/>
      <c r="CK71" s="53"/>
      <c r="CL71" s="77">
        <f>0.08735-0.09121</f>
        <v>-0.0038600000000000023</v>
      </c>
      <c r="CM71" s="77"/>
      <c r="CN71" s="77"/>
      <c r="CO71" s="77"/>
      <c r="CP71" s="77"/>
      <c r="CQ71" s="77"/>
      <c r="CR71" s="142"/>
      <c r="CS71" s="143"/>
      <c r="CT71" s="143"/>
      <c r="CU71" s="143"/>
      <c r="CV71" s="143"/>
      <c r="CW71" s="144"/>
    </row>
    <row r="72" spans="3:101" s="17" customFormat="1" ht="15.75">
      <c r="C72" s="62" t="s">
        <v>222</v>
      </c>
      <c r="D72" s="62"/>
      <c r="E72" s="62"/>
      <c r="F72" s="63" t="s">
        <v>273</v>
      </c>
      <c r="G72" s="64"/>
      <c r="H72" s="64"/>
      <c r="I72" s="64"/>
      <c r="J72" s="64"/>
      <c r="K72" s="64"/>
      <c r="L72" s="64"/>
      <c r="M72" s="64"/>
      <c r="N72" s="64"/>
      <c r="O72" s="64"/>
      <c r="P72" s="65"/>
      <c r="Q72" s="66">
        <v>2020</v>
      </c>
      <c r="R72" s="66"/>
      <c r="S72" s="66"/>
      <c r="T72" s="66"/>
      <c r="U72" s="66"/>
      <c r="V72" s="66"/>
      <c r="W72" s="66"/>
      <c r="X72" s="72">
        <v>2020</v>
      </c>
      <c r="Y72" s="73"/>
      <c r="Z72" s="73"/>
      <c r="AA72" s="73"/>
      <c r="AB72" s="73"/>
      <c r="AC72" s="74"/>
      <c r="AD72" s="84">
        <v>2020</v>
      </c>
      <c r="AE72" s="84"/>
      <c r="AF72" s="84"/>
      <c r="AG72" s="84"/>
      <c r="AH72" s="84"/>
      <c r="AI72" s="84"/>
      <c r="AJ72" s="68">
        <v>100</v>
      </c>
      <c r="AK72" s="68"/>
      <c r="AL72" s="68"/>
      <c r="AM72" s="68"/>
      <c r="AN72" s="68"/>
      <c r="AO72" s="68"/>
      <c r="AP72" s="53">
        <v>0.13</v>
      </c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>
        <v>0.13</v>
      </c>
      <c r="BC72" s="53"/>
      <c r="BD72" s="53"/>
      <c r="BE72" s="53"/>
      <c r="BF72" s="53"/>
      <c r="BG72" s="53"/>
      <c r="BH72" s="53">
        <f>0.130106</f>
        <v>0.130106</v>
      </c>
      <c r="BI72" s="53"/>
      <c r="BJ72" s="53"/>
      <c r="BK72" s="53"/>
      <c r="BL72" s="53"/>
      <c r="BM72" s="53"/>
      <c r="BN72" s="53">
        <v>0</v>
      </c>
      <c r="BO72" s="53"/>
      <c r="BP72" s="53"/>
      <c r="BQ72" s="53"/>
      <c r="BR72" s="53"/>
      <c r="BS72" s="53"/>
      <c r="BT72" s="53">
        <f t="shared" si="1"/>
        <v>0.00010599999999999499</v>
      </c>
      <c r="BU72" s="53"/>
      <c r="BV72" s="53"/>
      <c r="BW72" s="53"/>
      <c r="BX72" s="53"/>
      <c r="BY72" s="53"/>
      <c r="BZ72" s="53">
        <f>0.136292-BB72</f>
        <v>0.006291999999999992</v>
      </c>
      <c r="CA72" s="53"/>
      <c r="CB72" s="53"/>
      <c r="CC72" s="53"/>
      <c r="CD72" s="53"/>
      <c r="CE72" s="53"/>
      <c r="CF72" s="53">
        <v>0</v>
      </c>
      <c r="CG72" s="53"/>
      <c r="CH72" s="53"/>
      <c r="CI72" s="53"/>
      <c r="CJ72" s="53"/>
      <c r="CK72" s="53"/>
      <c r="CL72" s="53">
        <f>0.130106-0.136292</f>
        <v>-0.006185999999999997</v>
      </c>
      <c r="CM72" s="53"/>
      <c r="CN72" s="53"/>
      <c r="CO72" s="53"/>
      <c r="CP72" s="53"/>
      <c r="CQ72" s="53"/>
      <c r="CR72" s="142"/>
      <c r="CS72" s="143"/>
      <c r="CT72" s="143"/>
      <c r="CU72" s="143"/>
      <c r="CV72" s="143"/>
      <c r="CW72" s="144"/>
    </row>
    <row r="73" spans="3:101" s="17" customFormat="1" ht="15.75">
      <c r="C73" s="62" t="s">
        <v>223</v>
      </c>
      <c r="D73" s="62"/>
      <c r="E73" s="62"/>
      <c r="F73" s="63" t="s">
        <v>274</v>
      </c>
      <c r="G73" s="64"/>
      <c r="H73" s="64"/>
      <c r="I73" s="64"/>
      <c r="J73" s="64"/>
      <c r="K73" s="64"/>
      <c r="L73" s="64"/>
      <c r="M73" s="64"/>
      <c r="N73" s="64"/>
      <c r="O73" s="64"/>
      <c r="P73" s="65"/>
      <c r="Q73" s="66">
        <v>2020</v>
      </c>
      <c r="R73" s="66"/>
      <c r="S73" s="66"/>
      <c r="T73" s="66"/>
      <c r="U73" s="66"/>
      <c r="V73" s="66"/>
      <c r="W73" s="66"/>
      <c r="X73" s="72">
        <v>2020</v>
      </c>
      <c r="Y73" s="73"/>
      <c r="Z73" s="73"/>
      <c r="AA73" s="73"/>
      <c r="AB73" s="73"/>
      <c r="AC73" s="74"/>
      <c r="AD73" s="84">
        <v>2020</v>
      </c>
      <c r="AE73" s="84"/>
      <c r="AF73" s="84"/>
      <c r="AG73" s="84"/>
      <c r="AH73" s="84"/>
      <c r="AI73" s="84"/>
      <c r="AJ73" s="68">
        <v>100</v>
      </c>
      <c r="AK73" s="68"/>
      <c r="AL73" s="68"/>
      <c r="AM73" s="68"/>
      <c r="AN73" s="68"/>
      <c r="AO73" s="68"/>
      <c r="AP73" s="53">
        <v>0.56</v>
      </c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>
        <v>0.56</v>
      </c>
      <c r="BC73" s="53"/>
      <c r="BD73" s="53"/>
      <c r="BE73" s="53"/>
      <c r="BF73" s="53"/>
      <c r="BG73" s="53"/>
      <c r="BH73" s="77">
        <f>0.0029+0.00207501+0.109681+0.107191</f>
        <v>0.22184701</v>
      </c>
      <c r="BI73" s="77"/>
      <c r="BJ73" s="77"/>
      <c r="BK73" s="77"/>
      <c r="BL73" s="77"/>
      <c r="BM73" s="77"/>
      <c r="BN73" s="53">
        <v>0</v>
      </c>
      <c r="BO73" s="53"/>
      <c r="BP73" s="53"/>
      <c r="BQ73" s="53"/>
      <c r="BR73" s="53"/>
      <c r="BS73" s="53"/>
      <c r="BT73" s="53">
        <f t="shared" si="1"/>
        <v>-0.34312800000000004</v>
      </c>
      <c r="BU73" s="53"/>
      <c r="BV73" s="53"/>
      <c r="BW73" s="53"/>
      <c r="BX73" s="53"/>
      <c r="BY73" s="53"/>
      <c r="BZ73" s="53">
        <f>0.231975-BB73</f>
        <v>-0.32802500000000007</v>
      </c>
      <c r="CA73" s="53"/>
      <c r="CB73" s="53"/>
      <c r="CC73" s="53"/>
      <c r="CD73" s="53"/>
      <c r="CE73" s="53"/>
      <c r="CF73" s="53">
        <v>0</v>
      </c>
      <c r="CG73" s="53"/>
      <c r="CH73" s="53"/>
      <c r="CI73" s="53"/>
      <c r="CJ73" s="53"/>
      <c r="CK73" s="53"/>
      <c r="CL73" s="53">
        <f>0.216872-0.231975</f>
        <v>-0.015102999999999978</v>
      </c>
      <c r="CM73" s="53"/>
      <c r="CN73" s="53"/>
      <c r="CO73" s="53"/>
      <c r="CP73" s="53"/>
      <c r="CQ73" s="53"/>
      <c r="CR73" s="142"/>
      <c r="CS73" s="143"/>
      <c r="CT73" s="143"/>
      <c r="CU73" s="143"/>
      <c r="CV73" s="143"/>
      <c r="CW73" s="144"/>
    </row>
    <row r="74" spans="3:101" s="17" customFormat="1" ht="15.75" customHeight="1">
      <c r="C74" s="62" t="s">
        <v>224</v>
      </c>
      <c r="D74" s="62"/>
      <c r="E74" s="62"/>
      <c r="F74" s="63" t="s">
        <v>275</v>
      </c>
      <c r="G74" s="64"/>
      <c r="H74" s="64"/>
      <c r="I74" s="64"/>
      <c r="J74" s="64"/>
      <c r="K74" s="64"/>
      <c r="L74" s="64"/>
      <c r="M74" s="64"/>
      <c r="N74" s="64"/>
      <c r="O74" s="64"/>
      <c r="P74" s="65"/>
      <c r="Q74" s="66">
        <v>2020</v>
      </c>
      <c r="R74" s="66"/>
      <c r="S74" s="66"/>
      <c r="T74" s="66"/>
      <c r="U74" s="66"/>
      <c r="V74" s="66"/>
      <c r="W74" s="66"/>
      <c r="X74" s="72">
        <v>2020</v>
      </c>
      <c r="Y74" s="73"/>
      <c r="Z74" s="73"/>
      <c r="AA74" s="73"/>
      <c r="AB74" s="73"/>
      <c r="AC74" s="74"/>
      <c r="AD74" s="84">
        <v>2020</v>
      </c>
      <c r="AE74" s="84"/>
      <c r="AF74" s="84"/>
      <c r="AG74" s="84"/>
      <c r="AH74" s="84"/>
      <c r="AI74" s="84"/>
      <c r="AJ74" s="68">
        <v>100</v>
      </c>
      <c r="AK74" s="68"/>
      <c r="AL74" s="68"/>
      <c r="AM74" s="68"/>
      <c r="AN74" s="68"/>
      <c r="AO74" s="68"/>
      <c r="AP74" s="53">
        <v>0.38</v>
      </c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>
        <v>0.38</v>
      </c>
      <c r="BC74" s="53"/>
      <c r="BD74" s="53"/>
      <c r="BE74" s="53"/>
      <c r="BF74" s="53"/>
      <c r="BG74" s="53"/>
      <c r="BH74" s="53">
        <f>0.00425+0.00345835+0.085442+0.089573</f>
        <v>0.18272335</v>
      </c>
      <c r="BI74" s="53"/>
      <c r="BJ74" s="53"/>
      <c r="BK74" s="53"/>
      <c r="BL74" s="53"/>
      <c r="BM74" s="53"/>
      <c r="BN74" s="53">
        <v>0</v>
      </c>
      <c r="BO74" s="53"/>
      <c r="BP74" s="53"/>
      <c r="BQ74" s="53"/>
      <c r="BR74" s="53"/>
      <c r="BS74" s="53"/>
      <c r="BT74" s="53">
        <f t="shared" si="1"/>
        <v>-0.204985</v>
      </c>
      <c r="BU74" s="53"/>
      <c r="BV74" s="53"/>
      <c r="BW74" s="53"/>
      <c r="BX74" s="53"/>
      <c r="BY74" s="53"/>
      <c r="BZ74" s="53">
        <f>0.153139-BB74</f>
        <v>-0.226861</v>
      </c>
      <c r="CA74" s="53"/>
      <c r="CB74" s="53"/>
      <c r="CC74" s="53"/>
      <c r="CD74" s="53"/>
      <c r="CE74" s="53"/>
      <c r="CF74" s="53">
        <v>0</v>
      </c>
      <c r="CG74" s="53"/>
      <c r="CH74" s="53"/>
      <c r="CI74" s="53"/>
      <c r="CJ74" s="53"/>
      <c r="CK74" s="53"/>
      <c r="CL74" s="53">
        <f>0.175015-0.153139</f>
        <v>0.021876000000000007</v>
      </c>
      <c r="CM74" s="53"/>
      <c r="CN74" s="53"/>
      <c r="CO74" s="53"/>
      <c r="CP74" s="53"/>
      <c r="CQ74" s="53"/>
      <c r="CR74" s="145"/>
      <c r="CS74" s="146"/>
      <c r="CT74" s="146"/>
      <c r="CU74" s="146"/>
      <c r="CV74" s="146"/>
      <c r="CW74" s="147"/>
    </row>
    <row r="75" spans="3:101" s="17" customFormat="1" ht="15.75">
      <c r="C75" s="140" t="s">
        <v>225</v>
      </c>
      <c r="D75" s="62"/>
      <c r="E75" s="62"/>
      <c r="F75" s="63" t="s">
        <v>276</v>
      </c>
      <c r="G75" s="64"/>
      <c r="H75" s="64"/>
      <c r="I75" s="64"/>
      <c r="J75" s="64"/>
      <c r="K75" s="64"/>
      <c r="L75" s="64"/>
      <c r="M75" s="64"/>
      <c r="N75" s="64"/>
      <c r="O75" s="64"/>
      <c r="P75" s="65"/>
      <c r="Q75" s="66">
        <v>2020</v>
      </c>
      <c r="R75" s="66"/>
      <c r="S75" s="66"/>
      <c r="T75" s="66"/>
      <c r="U75" s="66"/>
      <c r="V75" s="66"/>
      <c r="W75" s="66"/>
      <c r="X75" s="72">
        <v>2020</v>
      </c>
      <c r="Y75" s="73"/>
      <c r="Z75" s="73"/>
      <c r="AA75" s="73"/>
      <c r="AB75" s="73"/>
      <c r="AC75" s="74"/>
      <c r="AD75" s="67"/>
      <c r="AE75" s="67"/>
      <c r="AF75" s="67"/>
      <c r="AG75" s="67"/>
      <c r="AH75" s="67"/>
      <c r="AI75" s="67"/>
      <c r="AJ75" s="68"/>
      <c r="AK75" s="68"/>
      <c r="AL75" s="68"/>
      <c r="AM75" s="68"/>
      <c r="AN75" s="68"/>
      <c r="AO75" s="68"/>
      <c r="AP75" s="53">
        <v>0.89</v>
      </c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>
        <v>0.89</v>
      </c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>
        <f aca="true" t="shared" si="2" ref="BN75:BN80">SUM(BH75-BB75)</f>
        <v>-0.89</v>
      </c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99"/>
      <c r="CS75" s="99"/>
      <c r="CT75" s="99"/>
      <c r="CU75" s="99"/>
      <c r="CV75" s="99"/>
      <c r="CW75" s="99"/>
    </row>
    <row r="76" spans="3:101" s="17" customFormat="1" ht="15.75">
      <c r="C76" s="62" t="s">
        <v>226</v>
      </c>
      <c r="D76" s="62"/>
      <c r="E76" s="62"/>
      <c r="F76" s="63" t="s">
        <v>277</v>
      </c>
      <c r="G76" s="64"/>
      <c r="H76" s="64"/>
      <c r="I76" s="64"/>
      <c r="J76" s="64"/>
      <c r="K76" s="64"/>
      <c r="L76" s="64"/>
      <c r="M76" s="64"/>
      <c r="N76" s="64"/>
      <c r="O76" s="64"/>
      <c r="P76" s="65"/>
      <c r="Q76" s="66">
        <v>2020</v>
      </c>
      <c r="R76" s="66"/>
      <c r="S76" s="66"/>
      <c r="T76" s="66"/>
      <c r="U76" s="66"/>
      <c r="V76" s="66"/>
      <c r="W76" s="66"/>
      <c r="X76" s="72">
        <v>2020</v>
      </c>
      <c r="Y76" s="73"/>
      <c r="Z76" s="73"/>
      <c r="AA76" s="73"/>
      <c r="AB76" s="73"/>
      <c r="AC76" s="74"/>
      <c r="AD76" s="67"/>
      <c r="AE76" s="67"/>
      <c r="AF76" s="67"/>
      <c r="AG76" s="67"/>
      <c r="AH76" s="67"/>
      <c r="AI76" s="67"/>
      <c r="AJ76" s="68"/>
      <c r="AK76" s="68"/>
      <c r="AL76" s="68"/>
      <c r="AM76" s="68"/>
      <c r="AN76" s="68"/>
      <c r="AO76" s="68"/>
      <c r="AP76" s="53">
        <v>0.38</v>
      </c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>
        <v>0.38</v>
      </c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>
        <f t="shared" si="2"/>
        <v>-0.38</v>
      </c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127"/>
      <c r="CS76" s="127"/>
      <c r="CT76" s="127"/>
      <c r="CU76" s="127"/>
      <c r="CV76" s="127"/>
      <c r="CW76" s="127"/>
    </row>
    <row r="77" spans="3:101" s="17" customFormat="1" ht="15.75">
      <c r="C77" s="62" t="s">
        <v>227</v>
      </c>
      <c r="D77" s="62"/>
      <c r="E77" s="62"/>
      <c r="F77" s="63" t="s">
        <v>278</v>
      </c>
      <c r="G77" s="64"/>
      <c r="H77" s="64"/>
      <c r="I77" s="64"/>
      <c r="J77" s="64"/>
      <c r="K77" s="64"/>
      <c r="L77" s="64"/>
      <c r="M77" s="64"/>
      <c r="N77" s="64"/>
      <c r="O77" s="64"/>
      <c r="P77" s="65"/>
      <c r="Q77" s="66">
        <v>2020</v>
      </c>
      <c r="R77" s="66"/>
      <c r="S77" s="66"/>
      <c r="T77" s="66"/>
      <c r="U77" s="66"/>
      <c r="V77" s="66"/>
      <c r="W77" s="66"/>
      <c r="X77" s="72">
        <v>2020</v>
      </c>
      <c r="Y77" s="73"/>
      <c r="Z77" s="73"/>
      <c r="AA77" s="73"/>
      <c r="AB77" s="73"/>
      <c r="AC77" s="74"/>
      <c r="AD77" s="67"/>
      <c r="AE77" s="67"/>
      <c r="AF77" s="67"/>
      <c r="AG77" s="67"/>
      <c r="AH77" s="67"/>
      <c r="AI77" s="67"/>
      <c r="AJ77" s="68"/>
      <c r="AK77" s="68"/>
      <c r="AL77" s="68"/>
      <c r="AM77" s="68"/>
      <c r="AN77" s="68"/>
      <c r="AO77" s="68"/>
      <c r="AP77" s="53">
        <v>0.56</v>
      </c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>
        <v>0.56</v>
      </c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>
        <f t="shared" si="2"/>
        <v>-0.56</v>
      </c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127"/>
      <c r="CS77" s="127"/>
      <c r="CT77" s="127"/>
      <c r="CU77" s="127"/>
      <c r="CV77" s="127"/>
      <c r="CW77" s="127"/>
    </row>
    <row r="78" spans="3:101" s="17" customFormat="1" ht="15.75">
      <c r="C78" s="62" t="s">
        <v>228</v>
      </c>
      <c r="D78" s="62"/>
      <c r="E78" s="62"/>
      <c r="F78" s="63" t="s">
        <v>279</v>
      </c>
      <c r="G78" s="64"/>
      <c r="H78" s="64"/>
      <c r="I78" s="64"/>
      <c r="J78" s="64"/>
      <c r="K78" s="64"/>
      <c r="L78" s="64"/>
      <c r="M78" s="64"/>
      <c r="N78" s="64"/>
      <c r="O78" s="64"/>
      <c r="P78" s="65"/>
      <c r="Q78" s="66">
        <v>2020</v>
      </c>
      <c r="R78" s="66"/>
      <c r="S78" s="66"/>
      <c r="T78" s="66"/>
      <c r="U78" s="66"/>
      <c r="V78" s="66"/>
      <c r="W78" s="66"/>
      <c r="X78" s="72">
        <v>2020</v>
      </c>
      <c r="Y78" s="73"/>
      <c r="Z78" s="73"/>
      <c r="AA78" s="73"/>
      <c r="AB78" s="73"/>
      <c r="AC78" s="74"/>
      <c r="AD78" s="67"/>
      <c r="AE78" s="67"/>
      <c r="AF78" s="67"/>
      <c r="AG78" s="67"/>
      <c r="AH78" s="67"/>
      <c r="AI78" s="67"/>
      <c r="AJ78" s="68"/>
      <c r="AK78" s="68"/>
      <c r="AL78" s="68"/>
      <c r="AM78" s="68"/>
      <c r="AN78" s="68"/>
      <c r="AO78" s="68"/>
      <c r="AP78" s="53">
        <v>0.505</v>
      </c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>
        <v>0.505</v>
      </c>
      <c r="BC78" s="53"/>
      <c r="BD78" s="53"/>
      <c r="BE78" s="53"/>
      <c r="BF78" s="53"/>
      <c r="BG78" s="53"/>
      <c r="BH78" s="77">
        <f>0.0045899</f>
        <v>0.0045899</v>
      </c>
      <c r="BI78" s="77"/>
      <c r="BJ78" s="77"/>
      <c r="BK78" s="77"/>
      <c r="BL78" s="77"/>
      <c r="BM78" s="77"/>
      <c r="BN78" s="53">
        <f t="shared" si="2"/>
        <v>-0.5004101</v>
      </c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127"/>
      <c r="CS78" s="127"/>
      <c r="CT78" s="127"/>
      <c r="CU78" s="127"/>
      <c r="CV78" s="127"/>
      <c r="CW78" s="127"/>
    </row>
    <row r="79" spans="3:101" s="17" customFormat="1" ht="15.75">
      <c r="C79" s="62" t="s">
        <v>229</v>
      </c>
      <c r="D79" s="62"/>
      <c r="E79" s="62"/>
      <c r="F79" s="63" t="s">
        <v>280</v>
      </c>
      <c r="G79" s="64"/>
      <c r="H79" s="64"/>
      <c r="I79" s="64"/>
      <c r="J79" s="64"/>
      <c r="K79" s="64"/>
      <c r="L79" s="64"/>
      <c r="M79" s="64"/>
      <c r="N79" s="64"/>
      <c r="O79" s="64"/>
      <c r="P79" s="65"/>
      <c r="Q79" s="66">
        <v>2020</v>
      </c>
      <c r="R79" s="66"/>
      <c r="S79" s="66"/>
      <c r="T79" s="66"/>
      <c r="U79" s="66"/>
      <c r="V79" s="66"/>
      <c r="W79" s="66"/>
      <c r="X79" s="72">
        <v>2020</v>
      </c>
      <c r="Y79" s="73"/>
      <c r="Z79" s="73"/>
      <c r="AA79" s="73"/>
      <c r="AB79" s="73"/>
      <c r="AC79" s="74"/>
      <c r="AD79" s="67"/>
      <c r="AE79" s="67"/>
      <c r="AF79" s="67"/>
      <c r="AG79" s="67"/>
      <c r="AH79" s="67"/>
      <c r="AI79" s="67"/>
      <c r="AJ79" s="68"/>
      <c r="AK79" s="68"/>
      <c r="AL79" s="68"/>
      <c r="AM79" s="68"/>
      <c r="AN79" s="68"/>
      <c r="AO79" s="68"/>
      <c r="AP79" s="53">
        <v>0.77</v>
      </c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>
        <v>0.77</v>
      </c>
      <c r="BC79" s="53"/>
      <c r="BD79" s="53"/>
      <c r="BE79" s="53"/>
      <c r="BF79" s="53"/>
      <c r="BG79" s="53"/>
      <c r="BH79" s="53">
        <f>0.006141</f>
        <v>0.006141</v>
      </c>
      <c r="BI79" s="53"/>
      <c r="BJ79" s="53"/>
      <c r="BK79" s="53"/>
      <c r="BL79" s="53"/>
      <c r="BM79" s="53"/>
      <c r="BN79" s="53">
        <f t="shared" si="2"/>
        <v>-0.7638590000000001</v>
      </c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127"/>
      <c r="CS79" s="127"/>
      <c r="CT79" s="127"/>
      <c r="CU79" s="127"/>
      <c r="CV79" s="127"/>
      <c r="CW79" s="127"/>
    </row>
    <row r="80" spans="3:101" s="17" customFormat="1" ht="15.75">
      <c r="C80" s="62" t="s">
        <v>230</v>
      </c>
      <c r="D80" s="62"/>
      <c r="E80" s="62"/>
      <c r="F80" s="63" t="s">
        <v>281</v>
      </c>
      <c r="G80" s="64"/>
      <c r="H80" s="64"/>
      <c r="I80" s="64"/>
      <c r="J80" s="64"/>
      <c r="K80" s="64"/>
      <c r="L80" s="64"/>
      <c r="M80" s="64"/>
      <c r="N80" s="64"/>
      <c r="O80" s="64"/>
      <c r="P80" s="65"/>
      <c r="Q80" s="66">
        <v>2020</v>
      </c>
      <c r="R80" s="66"/>
      <c r="S80" s="66"/>
      <c r="T80" s="66"/>
      <c r="U80" s="66"/>
      <c r="V80" s="66"/>
      <c r="W80" s="66"/>
      <c r="X80" s="72">
        <v>2020</v>
      </c>
      <c r="Y80" s="73"/>
      <c r="Z80" s="73"/>
      <c r="AA80" s="73"/>
      <c r="AB80" s="73"/>
      <c r="AC80" s="74"/>
      <c r="AD80" s="67"/>
      <c r="AE80" s="67"/>
      <c r="AF80" s="67"/>
      <c r="AG80" s="67"/>
      <c r="AH80" s="67"/>
      <c r="AI80" s="67"/>
      <c r="AJ80" s="68"/>
      <c r="AK80" s="68"/>
      <c r="AL80" s="68"/>
      <c r="AM80" s="68"/>
      <c r="AN80" s="68"/>
      <c r="AO80" s="68"/>
      <c r="AP80" s="69">
        <v>0.26</v>
      </c>
      <c r="AQ80" s="70"/>
      <c r="AR80" s="70"/>
      <c r="AS80" s="70"/>
      <c r="AT80" s="70"/>
      <c r="AU80" s="71"/>
      <c r="AV80" s="53"/>
      <c r="AW80" s="53"/>
      <c r="AX80" s="53"/>
      <c r="AY80" s="53"/>
      <c r="AZ80" s="53"/>
      <c r="BA80" s="53"/>
      <c r="BB80" s="69">
        <v>0.26</v>
      </c>
      <c r="BC80" s="70"/>
      <c r="BD80" s="70"/>
      <c r="BE80" s="70"/>
      <c r="BF80" s="70"/>
      <c r="BG80" s="71"/>
      <c r="BH80" s="53"/>
      <c r="BI80" s="53"/>
      <c r="BJ80" s="53"/>
      <c r="BK80" s="53"/>
      <c r="BL80" s="53"/>
      <c r="BM80" s="53"/>
      <c r="BN80" s="53">
        <f t="shared" si="2"/>
        <v>-0.26</v>
      </c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127"/>
      <c r="CS80" s="127"/>
      <c r="CT80" s="127"/>
      <c r="CU80" s="127"/>
      <c r="CV80" s="127"/>
      <c r="CW80" s="127"/>
    </row>
    <row r="81" spans="3:101" s="17" customFormat="1" ht="15.75">
      <c r="C81" s="62" t="s">
        <v>231</v>
      </c>
      <c r="D81" s="62"/>
      <c r="E81" s="62"/>
      <c r="F81" s="63" t="s">
        <v>282</v>
      </c>
      <c r="G81" s="64"/>
      <c r="H81" s="64"/>
      <c r="I81" s="64"/>
      <c r="J81" s="64"/>
      <c r="K81" s="64"/>
      <c r="L81" s="64"/>
      <c r="M81" s="64"/>
      <c r="N81" s="64"/>
      <c r="O81" s="64"/>
      <c r="P81" s="65"/>
      <c r="Q81" s="66">
        <v>2020</v>
      </c>
      <c r="R81" s="66"/>
      <c r="S81" s="66"/>
      <c r="T81" s="66"/>
      <c r="U81" s="66"/>
      <c r="V81" s="66"/>
      <c r="W81" s="66"/>
      <c r="X81" s="72">
        <v>2020</v>
      </c>
      <c r="Y81" s="73"/>
      <c r="Z81" s="73"/>
      <c r="AA81" s="73"/>
      <c r="AB81" s="73"/>
      <c r="AC81" s="74"/>
      <c r="AD81" s="84">
        <v>2020</v>
      </c>
      <c r="AE81" s="84"/>
      <c r="AF81" s="84"/>
      <c r="AG81" s="84"/>
      <c r="AH81" s="84"/>
      <c r="AI81" s="84"/>
      <c r="AJ81" s="68">
        <v>100</v>
      </c>
      <c r="AK81" s="68"/>
      <c r="AL81" s="68"/>
      <c r="AM81" s="68"/>
      <c r="AN81" s="68"/>
      <c r="AO81" s="68"/>
      <c r="AP81" s="69">
        <v>0.89</v>
      </c>
      <c r="AQ81" s="70"/>
      <c r="AR81" s="70"/>
      <c r="AS81" s="70"/>
      <c r="AT81" s="70"/>
      <c r="AU81" s="71"/>
      <c r="AV81" s="53"/>
      <c r="AW81" s="53"/>
      <c r="AX81" s="53"/>
      <c r="AY81" s="53"/>
      <c r="AZ81" s="53"/>
      <c r="BA81" s="53"/>
      <c r="BB81" s="69">
        <v>0.89</v>
      </c>
      <c r="BC81" s="70"/>
      <c r="BD81" s="70"/>
      <c r="BE81" s="70"/>
      <c r="BF81" s="70"/>
      <c r="BG81" s="71"/>
      <c r="BH81" s="53">
        <f>0.0038428+0.00346+0.300864+0.061</f>
        <v>0.3691668</v>
      </c>
      <c r="BI81" s="53"/>
      <c r="BJ81" s="53"/>
      <c r="BK81" s="53"/>
      <c r="BL81" s="53"/>
      <c r="BM81" s="53"/>
      <c r="BN81" s="53">
        <v>0</v>
      </c>
      <c r="BO81" s="53"/>
      <c r="BP81" s="53"/>
      <c r="BQ81" s="53"/>
      <c r="BR81" s="53"/>
      <c r="BS81" s="53"/>
      <c r="BT81" s="53">
        <f aca="true" t="shared" si="3" ref="BT81:BT87">SUM(BZ81:CQ81)</f>
        <v>-0.589136</v>
      </c>
      <c r="BU81" s="53"/>
      <c r="BV81" s="53"/>
      <c r="BW81" s="53"/>
      <c r="BX81" s="53"/>
      <c r="BY81" s="53"/>
      <c r="BZ81" s="53">
        <f>0.321561-BB81</f>
        <v>-0.568439</v>
      </c>
      <c r="CA81" s="53"/>
      <c r="CB81" s="53"/>
      <c r="CC81" s="53"/>
      <c r="CD81" s="53"/>
      <c r="CE81" s="53"/>
      <c r="CF81" s="53">
        <v>0</v>
      </c>
      <c r="CG81" s="53"/>
      <c r="CH81" s="53"/>
      <c r="CI81" s="53"/>
      <c r="CJ81" s="53"/>
      <c r="CK81" s="53"/>
      <c r="CL81" s="53">
        <f>0.300864-0.321561</f>
        <v>-0.020696999999999965</v>
      </c>
      <c r="CM81" s="53"/>
      <c r="CN81" s="53"/>
      <c r="CO81" s="53"/>
      <c r="CP81" s="53"/>
      <c r="CQ81" s="53"/>
      <c r="CR81" s="141" t="s">
        <v>325</v>
      </c>
      <c r="CS81" s="134"/>
      <c r="CT81" s="134"/>
      <c r="CU81" s="134"/>
      <c r="CV81" s="134"/>
      <c r="CW81" s="135"/>
    </row>
    <row r="82" spans="3:101" s="17" customFormat="1" ht="15.75">
      <c r="C82" s="62" t="s">
        <v>232</v>
      </c>
      <c r="D82" s="62"/>
      <c r="E82" s="62"/>
      <c r="F82" s="63" t="s">
        <v>283</v>
      </c>
      <c r="G82" s="64"/>
      <c r="H82" s="64"/>
      <c r="I82" s="64"/>
      <c r="J82" s="64"/>
      <c r="K82" s="64"/>
      <c r="L82" s="64"/>
      <c r="M82" s="64"/>
      <c r="N82" s="64"/>
      <c r="O82" s="64"/>
      <c r="P82" s="65"/>
      <c r="Q82" s="66">
        <v>2020</v>
      </c>
      <c r="R82" s="66"/>
      <c r="S82" s="66"/>
      <c r="T82" s="66"/>
      <c r="U82" s="66"/>
      <c r="V82" s="66"/>
      <c r="W82" s="66"/>
      <c r="X82" s="72">
        <v>2020</v>
      </c>
      <c r="Y82" s="73"/>
      <c r="Z82" s="73"/>
      <c r="AA82" s="73"/>
      <c r="AB82" s="73"/>
      <c r="AC82" s="74"/>
      <c r="AD82" s="84">
        <v>2020</v>
      </c>
      <c r="AE82" s="84"/>
      <c r="AF82" s="84"/>
      <c r="AG82" s="84"/>
      <c r="AH82" s="84"/>
      <c r="AI82" s="84"/>
      <c r="AJ82" s="68">
        <v>100</v>
      </c>
      <c r="AK82" s="68"/>
      <c r="AL82" s="68"/>
      <c r="AM82" s="68"/>
      <c r="AN82" s="68"/>
      <c r="AO82" s="68"/>
      <c r="AP82" s="69">
        <v>0.77</v>
      </c>
      <c r="AQ82" s="70"/>
      <c r="AR82" s="70"/>
      <c r="AS82" s="70"/>
      <c r="AT82" s="70"/>
      <c r="AU82" s="71"/>
      <c r="AV82" s="53"/>
      <c r="AW82" s="53"/>
      <c r="AX82" s="53"/>
      <c r="AY82" s="53"/>
      <c r="AZ82" s="53"/>
      <c r="BA82" s="53"/>
      <c r="BB82" s="69">
        <v>0.77</v>
      </c>
      <c r="BC82" s="70"/>
      <c r="BD82" s="70"/>
      <c r="BE82" s="70"/>
      <c r="BF82" s="70"/>
      <c r="BG82" s="71"/>
      <c r="BH82" s="77">
        <f>0.00193547+0.002076+0.214412</f>
        <v>0.21842346999999998</v>
      </c>
      <c r="BI82" s="77"/>
      <c r="BJ82" s="77"/>
      <c r="BK82" s="77"/>
      <c r="BL82" s="77"/>
      <c r="BM82" s="77"/>
      <c r="BN82" s="53">
        <v>0</v>
      </c>
      <c r="BO82" s="53"/>
      <c r="BP82" s="53"/>
      <c r="BQ82" s="53"/>
      <c r="BR82" s="53"/>
      <c r="BS82" s="53"/>
      <c r="BT82" s="53">
        <f t="shared" si="3"/>
        <v>-0.555588</v>
      </c>
      <c r="BU82" s="53"/>
      <c r="BV82" s="53"/>
      <c r="BW82" s="53"/>
      <c r="BX82" s="53"/>
      <c r="BY82" s="53"/>
      <c r="BZ82" s="53">
        <f>0.228747-AP82</f>
        <v>-0.541253</v>
      </c>
      <c r="CA82" s="53"/>
      <c r="CB82" s="53"/>
      <c r="CC82" s="53"/>
      <c r="CD82" s="53"/>
      <c r="CE82" s="53"/>
      <c r="CF82" s="53">
        <v>0</v>
      </c>
      <c r="CG82" s="53"/>
      <c r="CH82" s="53"/>
      <c r="CI82" s="53"/>
      <c r="CJ82" s="53"/>
      <c r="CK82" s="53"/>
      <c r="CL82" s="53">
        <f>0.214412-0.228747</f>
        <v>-0.014335000000000014</v>
      </c>
      <c r="CM82" s="53"/>
      <c r="CN82" s="53"/>
      <c r="CO82" s="53"/>
      <c r="CP82" s="53"/>
      <c r="CQ82" s="53"/>
      <c r="CR82" s="142"/>
      <c r="CS82" s="143"/>
      <c r="CT82" s="143"/>
      <c r="CU82" s="143"/>
      <c r="CV82" s="143"/>
      <c r="CW82" s="144"/>
    </row>
    <row r="83" spans="3:101" s="17" customFormat="1" ht="15.75">
      <c r="C83" s="62" t="s">
        <v>233</v>
      </c>
      <c r="D83" s="62"/>
      <c r="E83" s="62"/>
      <c r="F83" s="63" t="s">
        <v>284</v>
      </c>
      <c r="G83" s="64"/>
      <c r="H83" s="64"/>
      <c r="I83" s="64"/>
      <c r="J83" s="64"/>
      <c r="K83" s="64"/>
      <c r="L83" s="64"/>
      <c r="M83" s="64"/>
      <c r="N83" s="64"/>
      <c r="O83" s="64"/>
      <c r="P83" s="65"/>
      <c r="Q83" s="66">
        <v>2020</v>
      </c>
      <c r="R83" s="66"/>
      <c r="S83" s="66"/>
      <c r="T83" s="66"/>
      <c r="U83" s="66"/>
      <c r="V83" s="66"/>
      <c r="W83" s="66"/>
      <c r="X83" s="72">
        <v>2020</v>
      </c>
      <c r="Y83" s="73"/>
      <c r="Z83" s="73"/>
      <c r="AA83" s="73"/>
      <c r="AB83" s="73"/>
      <c r="AC83" s="74"/>
      <c r="AD83" s="84">
        <v>2020</v>
      </c>
      <c r="AE83" s="84"/>
      <c r="AF83" s="84"/>
      <c r="AG83" s="84"/>
      <c r="AH83" s="84"/>
      <c r="AI83" s="84"/>
      <c r="AJ83" s="68">
        <v>100</v>
      </c>
      <c r="AK83" s="68"/>
      <c r="AL83" s="68"/>
      <c r="AM83" s="68"/>
      <c r="AN83" s="68"/>
      <c r="AO83" s="68"/>
      <c r="AP83" s="69">
        <v>0.13</v>
      </c>
      <c r="AQ83" s="70"/>
      <c r="AR83" s="70"/>
      <c r="AS83" s="70"/>
      <c r="AT83" s="70"/>
      <c r="AU83" s="71"/>
      <c r="AV83" s="53"/>
      <c r="AW83" s="53"/>
      <c r="AX83" s="53"/>
      <c r="AY83" s="53"/>
      <c r="AZ83" s="53"/>
      <c r="BA83" s="53"/>
      <c r="BB83" s="69">
        <v>0.13</v>
      </c>
      <c r="BC83" s="70"/>
      <c r="BD83" s="70"/>
      <c r="BE83" s="70"/>
      <c r="BF83" s="70"/>
      <c r="BG83" s="71"/>
      <c r="BH83" s="77">
        <f>0.0029+0.18798336-0.061</f>
        <v>0.12988336</v>
      </c>
      <c r="BI83" s="77"/>
      <c r="BJ83" s="77"/>
      <c r="BK83" s="77"/>
      <c r="BL83" s="77"/>
      <c r="BM83" s="77"/>
      <c r="BN83" s="53">
        <v>0</v>
      </c>
      <c r="BO83" s="53"/>
      <c r="BP83" s="53"/>
      <c r="BQ83" s="53"/>
      <c r="BR83" s="53"/>
      <c r="BS83" s="53"/>
      <c r="BT83" s="53">
        <f t="shared" si="3"/>
        <v>0.05798699999999998</v>
      </c>
      <c r="BU83" s="53"/>
      <c r="BV83" s="53"/>
      <c r="BW83" s="53"/>
      <c r="BX83" s="53"/>
      <c r="BY83" s="53"/>
      <c r="BZ83" s="53">
        <f>0.204602-AP83</f>
        <v>0.074602</v>
      </c>
      <c r="CA83" s="53"/>
      <c r="CB83" s="53"/>
      <c r="CC83" s="53"/>
      <c r="CD83" s="53"/>
      <c r="CE83" s="53"/>
      <c r="CF83" s="53">
        <v>0</v>
      </c>
      <c r="CG83" s="53"/>
      <c r="CH83" s="53"/>
      <c r="CI83" s="53"/>
      <c r="CJ83" s="53"/>
      <c r="CK83" s="53"/>
      <c r="CL83" s="53">
        <f>0.187987-0.204602</f>
        <v>-0.01661500000000002</v>
      </c>
      <c r="CM83" s="53"/>
      <c r="CN83" s="53"/>
      <c r="CO83" s="53"/>
      <c r="CP83" s="53"/>
      <c r="CQ83" s="53"/>
      <c r="CR83" s="142"/>
      <c r="CS83" s="143"/>
      <c r="CT83" s="143"/>
      <c r="CU83" s="143"/>
      <c r="CV83" s="143"/>
      <c r="CW83" s="144"/>
    </row>
    <row r="84" spans="3:101" s="17" customFormat="1" ht="15.75">
      <c r="C84" s="62" t="s">
        <v>234</v>
      </c>
      <c r="D84" s="62"/>
      <c r="E84" s="62"/>
      <c r="F84" s="63" t="s">
        <v>285</v>
      </c>
      <c r="G84" s="64"/>
      <c r="H84" s="64"/>
      <c r="I84" s="64"/>
      <c r="J84" s="64"/>
      <c r="K84" s="64"/>
      <c r="L84" s="64"/>
      <c r="M84" s="64"/>
      <c r="N84" s="64"/>
      <c r="O84" s="64"/>
      <c r="P84" s="65"/>
      <c r="Q84" s="66">
        <v>2020</v>
      </c>
      <c r="R84" s="66"/>
      <c r="S84" s="66"/>
      <c r="T84" s="66"/>
      <c r="U84" s="66"/>
      <c r="V84" s="66"/>
      <c r="W84" s="66"/>
      <c r="X84" s="72">
        <v>2020</v>
      </c>
      <c r="Y84" s="73"/>
      <c r="Z84" s="73"/>
      <c r="AA84" s="73"/>
      <c r="AB84" s="73"/>
      <c r="AC84" s="74"/>
      <c r="AD84" s="84"/>
      <c r="AE84" s="84"/>
      <c r="AF84" s="84"/>
      <c r="AG84" s="84"/>
      <c r="AH84" s="84"/>
      <c r="AI84" s="84"/>
      <c r="AJ84" s="68"/>
      <c r="AK84" s="68"/>
      <c r="AL84" s="68"/>
      <c r="AM84" s="68"/>
      <c r="AN84" s="68"/>
      <c r="AO84" s="68"/>
      <c r="AP84" s="69">
        <v>0.38</v>
      </c>
      <c r="AQ84" s="70"/>
      <c r="AR84" s="70"/>
      <c r="AS84" s="70"/>
      <c r="AT84" s="70"/>
      <c r="AU84" s="71"/>
      <c r="AV84" s="53"/>
      <c r="AW84" s="53"/>
      <c r="AX84" s="53"/>
      <c r="AY84" s="53"/>
      <c r="AZ84" s="53"/>
      <c r="BA84" s="53"/>
      <c r="BB84" s="69">
        <v>0.38</v>
      </c>
      <c r="BC84" s="70"/>
      <c r="BD84" s="70"/>
      <c r="BE84" s="70"/>
      <c r="BF84" s="70"/>
      <c r="BG84" s="71"/>
      <c r="BH84" s="77">
        <f>0.00193547+0.002076+0.09157583</f>
        <v>0.0955873</v>
      </c>
      <c r="BI84" s="77"/>
      <c r="BJ84" s="77"/>
      <c r="BK84" s="77"/>
      <c r="BL84" s="77"/>
      <c r="BM84" s="77"/>
      <c r="BN84" s="53">
        <v>0</v>
      </c>
      <c r="BO84" s="53"/>
      <c r="BP84" s="53"/>
      <c r="BQ84" s="53"/>
      <c r="BR84" s="53"/>
      <c r="BS84" s="53"/>
      <c r="BT84" s="53">
        <f t="shared" si="3"/>
        <v>-0.28842500000000004</v>
      </c>
      <c r="BU84" s="53"/>
      <c r="BV84" s="53"/>
      <c r="BW84" s="53"/>
      <c r="BX84" s="53"/>
      <c r="BY84" s="53"/>
      <c r="BZ84" s="53">
        <f>0.09788-BB84</f>
        <v>-0.28212000000000004</v>
      </c>
      <c r="CA84" s="53"/>
      <c r="CB84" s="53"/>
      <c r="CC84" s="53"/>
      <c r="CD84" s="53"/>
      <c r="CE84" s="53"/>
      <c r="CF84" s="53">
        <v>0</v>
      </c>
      <c r="CG84" s="53"/>
      <c r="CH84" s="53"/>
      <c r="CI84" s="53"/>
      <c r="CJ84" s="53"/>
      <c r="CK84" s="53"/>
      <c r="CL84" s="53">
        <f>0.091575-0.09788</f>
        <v>-0.006304999999999991</v>
      </c>
      <c r="CM84" s="53"/>
      <c r="CN84" s="53"/>
      <c r="CO84" s="53"/>
      <c r="CP84" s="53"/>
      <c r="CQ84" s="53"/>
      <c r="CR84" s="142"/>
      <c r="CS84" s="143"/>
      <c r="CT84" s="143"/>
      <c r="CU84" s="143"/>
      <c r="CV84" s="143"/>
      <c r="CW84" s="144"/>
    </row>
    <row r="85" spans="3:101" s="17" customFormat="1" ht="15.75">
      <c r="C85" s="62" t="s">
        <v>235</v>
      </c>
      <c r="D85" s="62"/>
      <c r="E85" s="62"/>
      <c r="F85" s="63" t="s">
        <v>286</v>
      </c>
      <c r="G85" s="64"/>
      <c r="H85" s="64"/>
      <c r="I85" s="64"/>
      <c r="J85" s="64"/>
      <c r="K85" s="64"/>
      <c r="L85" s="64"/>
      <c r="M85" s="64"/>
      <c r="N85" s="64"/>
      <c r="O85" s="64"/>
      <c r="P85" s="65"/>
      <c r="Q85" s="66">
        <v>2020</v>
      </c>
      <c r="R85" s="66"/>
      <c r="S85" s="66"/>
      <c r="T85" s="66"/>
      <c r="U85" s="66"/>
      <c r="V85" s="66"/>
      <c r="W85" s="66"/>
      <c r="X85" s="72">
        <v>2020</v>
      </c>
      <c r="Y85" s="73"/>
      <c r="Z85" s="73"/>
      <c r="AA85" s="73"/>
      <c r="AB85" s="73"/>
      <c r="AC85" s="74"/>
      <c r="AD85" s="84">
        <v>2020</v>
      </c>
      <c r="AE85" s="84"/>
      <c r="AF85" s="84"/>
      <c r="AG85" s="84"/>
      <c r="AH85" s="84"/>
      <c r="AI85" s="84"/>
      <c r="AJ85" s="68">
        <v>100</v>
      </c>
      <c r="AK85" s="68"/>
      <c r="AL85" s="68"/>
      <c r="AM85" s="68"/>
      <c r="AN85" s="68"/>
      <c r="AO85" s="68"/>
      <c r="AP85" s="69">
        <v>0.38</v>
      </c>
      <c r="AQ85" s="70"/>
      <c r="AR85" s="70"/>
      <c r="AS85" s="70"/>
      <c r="AT85" s="70"/>
      <c r="AU85" s="71"/>
      <c r="AV85" s="53"/>
      <c r="AW85" s="53"/>
      <c r="AX85" s="53"/>
      <c r="AY85" s="53"/>
      <c r="AZ85" s="53"/>
      <c r="BA85" s="53"/>
      <c r="BB85" s="69">
        <v>0.38</v>
      </c>
      <c r="BC85" s="70"/>
      <c r="BD85" s="70"/>
      <c r="BE85" s="70"/>
      <c r="BF85" s="70"/>
      <c r="BG85" s="71"/>
      <c r="BH85" s="53">
        <f>0.00193546+0.00692+0.137242</f>
        <v>0.14609746</v>
      </c>
      <c r="BI85" s="53"/>
      <c r="BJ85" s="53"/>
      <c r="BK85" s="53"/>
      <c r="BL85" s="53"/>
      <c r="BM85" s="53"/>
      <c r="BN85" s="53">
        <v>0</v>
      </c>
      <c r="BO85" s="53"/>
      <c r="BP85" s="53"/>
      <c r="BQ85" s="53"/>
      <c r="BR85" s="53"/>
      <c r="BS85" s="53"/>
      <c r="BT85" s="53">
        <f t="shared" si="3"/>
        <v>-0.242758</v>
      </c>
      <c r="BU85" s="53"/>
      <c r="BV85" s="53"/>
      <c r="BW85" s="53"/>
      <c r="BX85" s="53"/>
      <c r="BY85" s="53"/>
      <c r="BZ85" s="53">
        <f>0.155326-BB85</f>
        <v>-0.224674</v>
      </c>
      <c r="CA85" s="53"/>
      <c r="CB85" s="53"/>
      <c r="CC85" s="53"/>
      <c r="CD85" s="53"/>
      <c r="CE85" s="53"/>
      <c r="CF85" s="53">
        <v>0</v>
      </c>
      <c r="CG85" s="53"/>
      <c r="CH85" s="53"/>
      <c r="CI85" s="53"/>
      <c r="CJ85" s="53"/>
      <c r="CK85" s="53"/>
      <c r="CL85" s="53">
        <f>0.137242-0.155326</f>
        <v>-0.01808399999999999</v>
      </c>
      <c r="CM85" s="53"/>
      <c r="CN85" s="53"/>
      <c r="CO85" s="53"/>
      <c r="CP85" s="53"/>
      <c r="CQ85" s="53"/>
      <c r="CR85" s="142"/>
      <c r="CS85" s="143"/>
      <c r="CT85" s="143"/>
      <c r="CU85" s="143"/>
      <c r="CV85" s="143"/>
      <c r="CW85" s="144"/>
    </row>
    <row r="86" spans="3:101" s="17" customFormat="1" ht="15.75">
      <c r="C86" s="62" t="s">
        <v>236</v>
      </c>
      <c r="D86" s="62"/>
      <c r="E86" s="62"/>
      <c r="F86" s="63" t="s">
        <v>287</v>
      </c>
      <c r="G86" s="64"/>
      <c r="H86" s="64"/>
      <c r="I86" s="64"/>
      <c r="J86" s="64"/>
      <c r="K86" s="64"/>
      <c r="L86" s="64"/>
      <c r="M86" s="64"/>
      <c r="N86" s="64"/>
      <c r="O86" s="64"/>
      <c r="P86" s="65"/>
      <c r="Q86" s="66">
        <v>2020</v>
      </c>
      <c r="R86" s="66"/>
      <c r="S86" s="66"/>
      <c r="T86" s="66"/>
      <c r="U86" s="66"/>
      <c r="V86" s="66"/>
      <c r="W86" s="66"/>
      <c r="X86" s="72">
        <v>2020</v>
      </c>
      <c r="Y86" s="73"/>
      <c r="Z86" s="73"/>
      <c r="AA86" s="73"/>
      <c r="AB86" s="73"/>
      <c r="AC86" s="74"/>
      <c r="AD86" s="84">
        <v>2020</v>
      </c>
      <c r="AE86" s="84"/>
      <c r="AF86" s="84"/>
      <c r="AG86" s="84"/>
      <c r="AH86" s="84"/>
      <c r="AI86" s="84"/>
      <c r="AJ86" s="68">
        <v>100</v>
      </c>
      <c r="AK86" s="68"/>
      <c r="AL86" s="68"/>
      <c r="AM86" s="68"/>
      <c r="AN86" s="68"/>
      <c r="AO86" s="68"/>
      <c r="AP86" s="69">
        <v>0.38</v>
      </c>
      <c r="AQ86" s="70"/>
      <c r="AR86" s="70"/>
      <c r="AS86" s="70"/>
      <c r="AT86" s="70"/>
      <c r="AU86" s="71"/>
      <c r="AV86" s="53"/>
      <c r="AW86" s="53"/>
      <c r="AX86" s="53"/>
      <c r="AY86" s="53"/>
      <c r="AZ86" s="53"/>
      <c r="BA86" s="53"/>
      <c r="BB86" s="69">
        <v>0.38</v>
      </c>
      <c r="BC86" s="70"/>
      <c r="BD86" s="70"/>
      <c r="BE86" s="70"/>
      <c r="BF86" s="70"/>
      <c r="BG86" s="71"/>
      <c r="BH86" s="77">
        <f>0.0029+0.11764581</f>
        <v>0.12054581</v>
      </c>
      <c r="BI86" s="77"/>
      <c r="BJ86" s="77"/>
      <c r="BK86" s="77"/>
      <c r="BL86" s="77"/>
      <c r="BM86" s="77"/>
      <c r="BN86" s="53">
        <v>0</v>
      </c>
      <c r="BO86" s="53"/>
      <c r="BP86" s="53"/>
      <c r="BQ86" s="53"/>
      <c r="BR86" s="53"/>
      <c r="BS86" s="53"/>
      <c r="BT86" s="53">
        <f t="shared" si="3"/>
        <v>-0.262355</v>
      </c>
      <c r="BU86" s="53"/>
      <c r="BV86" s="53"/>
      <c r="BW86" s="53"/>
      <c r="BX86" s="53"/>
      <c r="BY86" s="53"/>
      <c r="BZ86" s="53">
        <f>0.129741-BB86</f>
        <v>-0.250259</v>
      </c>
      <c r="CA86" s="53"/>
      <c r="CB86" s="53"/>
      <c r="CC86" s="53"/>
      <c r="CD86" s="53"/>
      <c r="CE86" s="53"/>
      <c r="CF86" s="53">
        <v>0</v>
      </c>
      <c r="CG86" s="53"/>
      <c r="CH86" s="53"/>
      <c r="CI86" s="53"/>
      <c r="CJ86" s="53"/>
      <c r="CK86" s="53"/>
      <c r="CL86" s="53">
        <f>0.117645-0.129741</f>
        <v>-0.012095999999999996</v>
      </c>
      <c r="CM86" s="53"/>
      <c r="CN86" s="53"/>
      <c r="CO86" s="53"/>
      <c r="CP86" s="53"/>
      <c r="CQ86" s="53"/>
      <c r="CR86" s="142"/>
      <c r="CS86" s="143"/>
      <c r="CT86" s="143"/>
      <c r="CU86" s="143"/>
      <c r="CV86" s="143"/>
      <c r="CW86" s="144"/>
    </row>
    <row r="87" spans="3:101" s="17" customFormat="1" ht="15.75">
      <c r="C87" s="62" t="s">
        <v>237</v>
      </c>
      <c r="D87" s="62"/>
      <c r="E87" s="62"/>
      <c r="F87" s="63" t="s">
        <v>288</v>
      </c>
      <c r="G87" s="64"/>
      <c r="H87" s="64"/>
      <c r="I87" s="64"/>
      <c r="J87" s="64"/>
      <c r="K87" s="64"/>
      <c r="L87" s="64"/>
      <c r="M87" s="64"/>
      <c r="N87" s="64"/>
      <c r="O87" s="64"/>
      <c r="P87" s="65"/>
      <c r="Q87" s="66">
        <v>2020</v>
      </c>
      <c r="R87" s="66"/>
      <c r="S87" s="66"/>
      <c r="T87" s="66"/>
      <c r="U87" s="66"/>
      <c r="V87" s="66"/>
      <c r="W87" s="66"/>
      <c r="X87" s="72">
        <v>2020</v>
      </c>
      <c r="Y87" s="73"/>
      <c r="Z87" s="73"/>
      <c r="AA87" s="73"/>
      <c r="AB87" s="73"/>
      <c r="AC87" s="74"/>
      <c r="AD87" s="84">
        <v>2020</v>
      </c>
      <c r="AE87" s="84"/>
      <c r="AF87" s="84"/>
      <c r="AG87" s="84"/>
      <c r="AH87" s="84"/>
      <c r="AI87" s="84"/>
      <c r="AJ87" s="68">
        <v>100</v>
      </c>
      <c r="AK87" s="68"/>
      <c r="AL87" s="68"/>
      <c r="AM87" s="68"/>
      <c r="AN87" s="68"/>
      <c r="AO87" s="68"/>
      <c r="AP87" s="69">
        <v>0.26</v>
      </c>
      <c r="AQ87" s="70"/>
      <c r="AR87" s="70"/>
      <c r="AS87" s="70"/>
      <c r="AT87" s="70"/>
      <c r="AU87" s="71"/>
      <c r="AV87" s="53"/>
      <c r="AW87" s="53"/>
      <c r="AX87" s="53"/>
      <c r="AY87" s="53"/>
      <c r="AZ87" s="53"/>
      <c r="BA87" s="53"/>
      <c r="BB87" s="69">
        <v>0.26</v>
      </c>
      <c r="BC87" s="70"/>
      <c r="BD87" s="70"/>
      <c r="BE87" s="70"/>
      <c r="BF87" s="70"/>
      <c r="BG87" s="71"/>
      <c r="BH87" s="53">
        <f>0.0029+0.00345835+0.059817+0.05811794</f>
        <v>0.12429329</v>
      </c>
      <c r="BI87" s="53"/>
      <c r="BJ87" s="53"/>
      <c r="BK87" s="53"/>
      <c r="BL87" s="53"/>
      <c r="BM87" s="53"/>
      <c r="BN87" s="53">
        <v>0</v>
      </c>
      <c r="BO87" s="53"/>
      <c r="BP87" s="53"/>
      <c r="BQ87" s="53"/>
      <c r="BR87" s="53"/>
      <c r="BS87" s="53"/>
      <c r="BT87" s="53">
        <f t="shared" si="3"/>
        <v>-0.14206466</v>
      </c>
      <c r="BU87" s="53"/>
      <c r="BV87" s="53"/>
      <c r="BW87" s="53"/>
      <c r="BX87" s="53"/>
      <c r="BY87" s="53"/>
      <c r="BZ87" s="53">
        <f>0.134571-BB87</f>
        <v>-0.125429</v>
      </c>
      <c r="CA87" s="53"/>
      <c r="CB87" s="53"/>
      <c r="CC87" s="53"/>
      <c r="CD87" s="53"/>
      <c r="CE87" s="53"/>
      <c r="CF87" s="53">
        <v>0</v>
      </c>
      <c r="CG87" s="53"/>
      <c r="CH87" s="53"/>
      <c r="CI87" s="53"/>
      <c r="CJ87" s="53"/>
      <c r="CK87" s="53"/>
      <c r="CL87" s="53">
        <f>0.11793534-0.134571</f>
        <v>-0.016635659999999997</v>
      </c>
      <c r="CM87" s="53"/>
      <c r="CN87" s="53"/>
      <c r="CO87" s="53"/>
      <c r="CP87" s="53"/>
      <c r="CQ87" s="53"/>
      <c r="CR87" s="145"/>
      <c r="CS87" s="146"/>
      <c r="CT87" s="146"/>
      <c r="CU87" s="146"/>
      <c r="CV87" s="146"/>
      <c r="CW87" s="147"/>
    </row>
    <row r="88" spans="3:101" s="17" customFormat="1" ht="15.75">
      <c r="C88" s="62" t="s">
        <v>238</v>
      </c>
      <c r="D88" s="62"/>
      <c r="E88" s="62"/>
      <c r="F88" s="63" t="s">
        <v>289</v>
      </c>
      <c r="G88" s="64"/>
      <c r="H88" s="64"/>
      <c r="I88" s="64"/>
      <c r="J88" s="64"/>
      <c r="K88" s="64"/>
      <c r="L88" s="64"/>
      <c r="M88" s="64"/>
      <c r="N88" s="64"/>
      <c r="O88" s="64"/>
      <c r="P88" s="65"/>
      <c r="Q88" s="66">
        <v>2020</v>
      </c>
      <c r="R88" s="66"/>
      <c r="S88" s="66"/>
      <c r="T88" s="66"/>
      <c r="U88" s="66"/>
      <c r="V88" s="66"/>
      <c r="W88" s="66"/>
      <c r="X88" s="72">
        <v>2020</v>
      </c>
      <c r="Y88" s="73"/>
      <c r="Z88" s="73"/>
      <c r="AA88" s="73"/>
      <c r="AB88" s="73"/>
      <c r="AC88" s="74"/>
      <c r="AD88" s="67"/>
      <c r="AE88" s="67"/>
      <c r="AF88" s="67"/>
      <c r="AG88" s="67"/>
      <c r="AH88" s="67"/>
      <c r="AI88" s="67"/>
      <c r="AJ88" s="68"/>
      <c r="AK88" s="68"/>
      <c r="AL88" s="68"/>
      <c r="AM88" s="68"/>
      <c r="AN88" s="68"/>
      <c r="AO88" s="68"/>
      <c r="AP88" s="69">
        <v>0.38</v>
      </c>
      <c r="AQ88" s="70"/>
      <c r="AR88" s="70"/>
      <c r="AS88" s="70"/>
      <c r="AT88" s="70"/>
      <c r="AU88" s="71"/>
      <c r="AV88" s="53"/>
      <c r="AW88" s="53"/>
      <c r="AX88" s="53"/>
      <c r="AY88" s="53"/>
      <c r="AZ88" s="53"/>
      <c r="BA88" s="53"/>
      <c r="BB88" s="69">
        <v>0.38</v>
      </c>
      <c r="BC88" s="70"/>
      <c r="BD88" s="70"/>
      <c r="BE88" s="70"/>
      <c r="BF88" s="70"/>
      <c r="BG88" s="71"/>
      <c r="BH88" s="77">
        <f>0.0029</f>
        <v>0.0029</v>
      </c>
      <c r="BI88" s="77"/>
      <c r="BJ88" s="77"/>
      <c r="BK88" s="77"/>
      <c r="BL88" s="77"/>
      <c r="BM88" s="77"/>
      <c r="BN88" s="53">
        <f aca="true" t="shared" si="4" ref="BN88:BN95">SUM(BH88-BB88)</f>
        <v>-0.3771</v>
      </c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127"/>
      <c r="CS88" s="127"/>
      <c r="CT88" s="127"/>
      <c r="CU88" s="127"/>
      <c r="CV88" s="127"/>
      <c r="CW88" s="127"/>
    </row>
    <row r="89" spans="3:101" s="17" customFormat="1" ht="15.75">
      <c r="C89" s="62" t="s">
        <v>239</v>
      </c>
      <c r="D89" s="62"/>
      <c r="E89" s="62"/>
      <c r="F89" s="63" t="s">
        <v>290</v>
      </c>
      <c r="G89" s="64"/>
      <c r="H89" s="64"/>
      <c r="I89" s="64"/>
      <c r="J89" s="64"/>
      <c r="K89" s="64"/>
      <c r="L89" s="64"/>
      <c r="M89" s="64"/>
      <c r="N89" s="64"/>
      <c r="O89" s="64"/>
      <c r="P89" s="65"/>
      <c r="Q89" s="66">
        <v>2020</v>
      </c>
      <c r="R89" s="66"/>
      <c r="S89" s="66"/>
      <c r="T89" s="66"/>
      <c r="U89" s="66"/>
      <c r="V89" s="66"/>
      <c r="W89" s="66"/>
      <c r="X89" s="72">
        <v>2020</v>
      </c>
      <c r="Y89" s="73"/>
      <c r="Z89" s="73"/>
      <c r="AA89" s="73"/>
      <c r="AB89" s="73"/>
      <c r="AC89" s="74"/>
      <c r="AD89" s="67"/>
      <c r="AE89" s="67"/>
      <c r="AF89" s="67"/>
      <c r="AG89" s="67"/>
      <c r="AH89" s="67"/>
      <c r="AI89" s="67"/>
      <c r="AJ89" s="68"/>
      <c r="AK89" s="68"/>
      <c r="AL89" s="68"/>
      <c r="AM89" s="68"/>
      <c r="AN89" s="68"/>
      <c r="AO89" s="68"/>
      <c r="AP89" s="69">
        <v>0.26</v>
      </c>
      <c r="AQ89" s="70"/>
      <c r="AR89" s="70"/>
      <c r="AS89" s="70"/>
      <c r="AT89" s="70"/>
      <c r="AU89" s="71"/>
      <c r="AV89" s="53"/>
      <c r="AW89" s="53"/>
      <c r="AX89" s="53"/>
      <c r="AY89" s="53"/>
      <c r="AZ89" s="53"/>
      <c r="BA89" s="53"/>
      <c r="BB89" s="69">
        <v>0.26</v>
      </c>
      <c r="BC89" s="70"/>
      <c r="BD89" s="70"/>
      <c r="BE89" s="70"/>
      <c r="BF89" s="70"/>
      <c r="BG89" s="71"/>
      <c r="BH89" s="77">
        <f>0.0029</f>
        <v>0.0029</v>
      </c>
      <c r="BI89" s="77"/>
      <c r="BJ89" s="77"/>
      <c r="BK89" s="77"/>
      <c r="BL89" s="77"/>
      <c r="BM89" s="77"/>
      <c r="BN89" s="53">
        <f t="shared" si="4"/>
        <v>-0.2571</v>
      </c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127"/>
      <c r="CS89" s="127"/>
      <c r="CT89" s="127"/>
      <c r="CU89" s="127"/>
      <c r="CV89" s="127"/>
      <c r="CW89" s="127"/>
    </row>
    <row r="90" spans="3:101" s="17" customFormat="1" ht="15.75">
      <c r="C90" s="62" t="s">
        <v>240</v>
      </c>
      <c r="D90" s="62"/>
      <c r="E90" s="62"/>
      <c r="F90" s="63" t="s">
        <v>291</v>
      </c>
      <c r="G90" s="64"/>
      <c r="H90" s="64"/>
      <c r="I90" s="64"/>
      <c r="J90" s="64"/>
      <c r="K90" s="64"/>
      <c r="L90" s="64"/>
      <c r="M90" s="64"/>
      <c r="N90" s="64"/>
      <c r="O90" s="64"/>
      <c r="P90" s="65"/>
      <c r="Q90" s="66">
        <v>2020</v>
      </c>
      <c r="R90" s="66"/>
      <c r="S90" s="66"/>
      <c r="T90" s="66"/>
      <c r="U90" s="66"/>
      <c r="V90" s="66"/>
      <c r="W90" s="66"/>
      <c r="X90" s="72">
        <v>2020</v>
      </c>
      <c r="Y90" s="73"/>
      <c r="Z90" s="73"/>
      <c r="AA90" s="73"/>
      <c r="AB90" s="73"/>
      <c r="AC90" s="74"/>
      <c r="AD90" s="67"/>
      <c r="AE90" s="67"/>
      <c r="AF90" s="67"/>
      <c r="AG90" s="67"/>
      <c r="AH90" s="67"/>
      <c r="AI90" s="67"/>
      <c r="AJ90" s="68"/>
      <c r="AK90" s="68"/>
      <c r="AL90" s="68"/>
      <c r="AM90" s="68"/>
      <c r="AN90" s="68"/>
      <c r="AO90" s="68"/>
      <c r="AP90" s="69">
        <v>0.26</v>
      </c>
      <c r="AQ90" s="70"/>
      <c r="AR90" s="70"/>
      <c r="AS90" s="70"/>
      <c r="AT90" s="70"/>
      <c r="AU90" s="71"/>
      <c r="AV90" s="53"/>
      <c r="AW90" s="53"/>
      <c r="AX90" s="53"/>
      <c r="AY90" s="53"/>
      <c r="AZ90" s="53"/>
      <c r="BA90" s="53"/>
      <c r="BB90" s="69">
        <v>0.26</v>
      </c>
      <c r="BC90" s="70"/>
      <c r="BD90" s="70"/>
      <c r="BE90" s="70"/>
      <c r="BF90" s="70"/>
      <c r="BG90" s="71"/>
      <c r="BH90" s="77">
        <f>0.0029</f>
        <v>0.0029</v>
      </c>
      <c r="BI90" s="77"/>
      <c r="BJ90" s="77"/>
      <c r="BK90" s="77"/>
      <c r="BL90" s="77"/>
      <c r="BM90" s="77"/>
      <c r="BN90" s="53">
        <f t="shared" si="4"/>
        <v>-0.2571</v>
      </c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127"/>
      <c r="CS90" s="127"/>
      <c r="CT90" s="127"/>
      <c r="CU90" s="127"/>
      <c r="CV90" s="127"/>
      <c r="CW90" s="127"/>
    </row>
    <row r="91" spans="3:101" s="17" customFormat="1" ht="15.75">
      <c r="C91" s="62" t="s">
        <v>241</v>
      </c>
      <c r="D91" s="62"/>
      <c r="E91" s="62"/>
      <c r="F91" s="63" t="s">
        <v>292</v>
      </c>
      <c r="G91" s="64"/>
      <c r="H91" s="64"/>
      <c r="I91" s="64"/>
      <c r="J91" s="64"/>
      <c r="K91" s="64"/>
      <c r="L91" s="64"/>
      <c r="M91" s="64"/>
      <c r="N91" s="64"/>
      <c r="O91" s="64"/>
      <c r="P91" s="65"/>
      <c r="Q91" s="66">
        <v>2020</v>
      </c>
      <c r="R91" s="66"/>
      <c r="S91" s="66"/>
      <c r="T91" s="66"/>
      <c r="U91" s="66"/>
      <c r="V91" s="66"/>
      <c r="W91" s="66"/>
      <c r="X91" s="72">
        <v>2020</v>
      </c>
      <c r="Y91" s="73"/>
      <c r="Z91" s="73"/>
      <c r="AA91" s="73"/>
      <c r="AB91" s="73"/>
      <c r="AC91" s="74"/>
      <c r="AD91" s="67"/>
      <c r="AE91" s="67"/>
      <c r="AF91" s="67"/>
      <c r="AG91" s="67"/>
      <c r="AH91" s="67"/>
      <c r="AI91" s="67"/>
      <c r="AJ91" s="68"/>
      <c r="AK91" s="68"/>
      <c r="AL91" s="68"/>
      <c r="AM91" s="68"/>
      <c r="AN91" s="68"/>
      <c r="AO91" s="68"/>
      <c r="AP91" s="69">
        <v>0.51</v>
      </c>
      <c r="AQ91" s="70"/>
      <c r="AR91" s="70"/>
      <c r="AS91" s="70"/>
      <c r="AT91" s="70"/>
      <c r="AU91" s="71"/>
      <c r="AV91" s="53"/>
      <c r="AW91" s="53"/>
      <c r="AX91" s="53"/>
      <c r="AY91" s="53"/>
      <c r="AZ91" s="53"/>
      <c r="BA91" s="53"/>
      <c r="BB91" s="69">
        <v>0.51</v>
      </c>
      <c r="BC91" s="70"/>
      <c r="BD91" s="70"/>
      <c r="BE91" s="70"/>
      <c r="BF91" s="70"/>
      <c r="BG91" s="71"/>
      <c r="BH91" s="77">
        <f>0.0029</f>
        <v>0.0029</v>
      </c>
      <c r="BI91" s="77"/>
      <c r="BJ91" s="77"/>
      <c r="BK91" s="77"/>
      <c r="BL91" s="77"/>
      <c r="BM91" s="77"/>
      <c r="BN91" s="53">
        <f t="shared" si="4"/>
        <v>-0.5071</v>
      </c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127"/>
      <c r="CS91" s="127"/>
      <c r="CT91" s="127"/>
      <c r="CU91" s="127"/>
      <c r="CV91" s="127"/>
      <c r="CW91" s="127"/>
    </row>
    <row r="92" spans="3:101" s="17" customFormat="1" ht="15.75">
      <c r="C92" s="62" t="s">
        <v>242</v>
      </c>
      <c r="D92" s="62"/>
      <c r="E92" s="62"/>
      <c r="F92" s="63" t="s">
        <v>293</v>
      </c>
      <c r="G92" s="64"/>
      <c r="H92" s="64"/>
      <c r="I92" s="64"/>
      <c r="J92" s="64"/>
      <c r="K92" s="64"/>
      <c r="L92" s="64"/>
      <c r="M92" s="64"/>
      <c r="N92" s="64"/>
      <c r="O92" s="64"/>
      <c r="P92" s="65"/>
      <c r="Q92" s="66">
        <v>2020</v>
      </c>
      <c r="R92" s="66"/>
      <c r="S92" s="66"/>
      <c r="T92" s="66"/>
      <c r="U92" s="66"/>
      <c r="V92" s="66"/>
      <c r="W92" s="66"/>
      <c r="X92" s="72">
        <v>2020</v>
      </c>
      <c r="Y92" s="73"/>
      <c r="Z92" s="73"/>
      <c r="AA92" s="73"/>
      <c r="AB92" s="73"/>
      <c r="AC92" s="74"/>
      <c r="AD92" s="67"/>
      <c r="AE92" s="67"/>
      <c r="AF92" s="67"/>
      <c r="AG92" s="67"/>
      <c r="AH92" s="67"/>
      <c r="AI92" s="67"/>
      <c r="AJ92" s="68"/>
      <c r="AK92" s="68"/>
      <c r="AL92" s="68"/>
      <c r="AM92" s="68"/>
      <c r="AN92" s="68"/>
      <c r="AO92" s="68"/>
      <c r="AP92" s="69">
        <v>0.64</v>
      </c>
      <c r="AQ92" s="70"/>
      <c r="AR92" s="70"/>
      <c r="AS92" s="70"/>
      <c r="AT92" s="70"/>
      <c r="AU92" s="71"/>
      <c r="AV92" s="53"/>
      <c r="AW92" s="53"/>
      <c r="AX92" s="53"/>
      <c r="AY92" s="53"/>
      <c r="AZ92" s="53"/>
      <c r="BA92" s="53"/>
      <c r="BB92" s="69">
        <v>0.64</v>
      </c>
      <c r="BC92" s="70"/>
      <c r="BD92" s="70"/>
      <c r="BE92" s="70"/>
      <c r="BF92" s="70"/>
      <c r="BG92" s="71"/>
      <c r="BH92" s="77">
        <f>0.0029</f>
        <v>0.0029</v>
      </c>
      <c r="BI92" s="77"/>
      <c r="BJ92" s="77"/>
      <c r="BK92" s="77"/>
      <c r="BL92" s="77"/>
      <c r="BM92" s="77"/>
      <c r="BN92" s="53">
        <f t="shared" si="4"/>
        <v>-0.6371</v>
      </c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127"/>
      <c r="CS92" s="127"/>
      <c r="CT92" s="127"/>
      <c r="CU92" s="127"/>
      <c r="CV92" s="127"/>
      <c r="CW92" s="127"/>
    </row>
    <row r="93" spans="3:101" s="17" customFormat="1" ht="15.75">
      <c r="C93" s="62" t="s">
        <v>243</v>
      </c>
      <c r="D93" s="62"/>
      <c r="E93" s="62"/>
      <c r="F93" s="63" t="s">
        <v>294</v>
      </c>
      <c r="G93" s="64"/>
      <c r="H93" s="64"/>
      <c r="I93" s="64"/>
      <c r="J93" s="64"/>
      <c r="K93" s="64"/>
      <c r="L93" s="64"/>
      <c r="M93" s="64"/>
      <c r="N93" s="64"/>
      <c r="O93" s="64"/>
      <c r="P93" s="65"/>
      <c r="Q93" s="66">
        <v>2020</v>
      </c>
      <c r="R93" s="66"/>
      <c r="S93" s="66"/>
      <c r="T93" s="66"/>
      <c r="U93" s="66"/>
      <c r="V93" s="66"/>
      <c r="W93" s="66"/>
      <c r="X93" s="72">
        <v>2020</v>
      </c>
      <c r="Y93" s="73"/>
      <c r="Z93" s="73"/>
      <c r="AA93" s="73"/>
      <c r="AB93" s="73"/>
      <c r="AC93" s="74"/>
      <c r="AD93" s="67"/>
      <c r="AE93" s="67"/>
      <c r="AF93" s="67"/>
      <c r="AG93" s="67"/>
      <c r="AH93" s="67"/>
      <c r="AI93" s="67"/>
      <c r="AJ93" s="68"/>
      <c r="AK93" s="68"/>
      <c r="AL93" s="68"/>
      <c r="AM93" s="68"/>
      <c r="AN93" s="68"/>
      <c r="AO93" s="68"/>
      <c r="AP93" s="69">
        <v>0.26</v>
      </c>
      <c r="AQ93" s="70"/>
      <c r="AR93" s="70"/>
      <c r="AS93" s="70"/>
      <c r="AT93" s="70"/>
      <c r="AU93" s="71"/>
      <c r="AV93" s="53"/>
      <c r="AW93" s="53"/>
      <c r="AX93" s="53"/>
      <c r="AY93" s="53"/>
      <c r="AZ93" s="53"/>
      <c r="BA93" s="53"/>
      <c r="BB93" s="69">
        <v>0.26</v>
      </c>
      <c r="BC93" s="70"/>
      <c r="BD93" s="70"/>
      <c r="BE93" s="70"/>
      <c r="BF93" s="70"/>
      <c r="BG93" s="71"/>
      <c r="BH93" s="53"/>
      <c r="BI93" s="53"/>
      <c r="BJ93" s="53"/>
      <c r="BK93" s="53"/>
      <c r="BL93" s="53"/>
      <c r="BM93" s="53"/>
      <c r="BN93" s="53">
        <f t="shared" si="4"/>
        <v>-0.26</v>
      </c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127"/>
      <c r="CS93" s="127"/>
      <c r="CT93" s="127"/>
      <c r="CU93" s="127"/>
      <c r="CV93" s="127"/>
      <c r="CW93" s="127"/>
    </row>
    <row r="94" spans="3:101" s="17" customFormat="1" ht="15.75">
      <c r="C94" s="62" t="s">
        <v>244</v>
      </c>
      <c r="D94" s="62"/>
      <c r="E94" s="62"/>
      <c r="F94" s="63" t="s">
        <v>295</v>
      </c>
      <c r="G94" s="64"/>
      <c r="H94" s="64"/>
      <c r="I94" s="64"/>
      <c r="J94" s="64"/>
      <c r="K94" s="64"/>
      <c r="L94" s="64"/>
      <c r="M94" s="64"/>
      <c r="N94" s="64"/>
      <c r="O94" s="64"/>
      <c r="P94" s="65"/>
      <c r="Q94" s="66">
        <v>2020</v>
      </c>
      <c r="R94" s="66"/>
      <c r="S94" s="66"/>
      <c r="T94" s="66"/>
      <c r="U94" s="66"/>
      <c r="V94" s="66"/>
      <c r="W94" s="66"/>
      <c r="X94" s="72">
        <v>2020</v>
      </c>
      <c r="Y94" s="73"/>
      <c r="Z94" s="73"/>
      <c r="AA94" s="73"/>
      <c r="AB94" s="73"/>
      <c r="AC94" s="74"/>
      <c r="AD94" s="67"/>
      <c r="AE94" s="67"/>
      <c r="AF94" s="67"/>
      <c r="AG94" s="67"/>
      <c r="AH94" s="67"/>
      <c r="AI94" s="67"/>
      <c r="AJ94" s="68"/>
      <c r="AK94" s="68"/>
      <c r="AL94" s="68"/>
      <c r="AM94" s="68"/>
      <c r="AN94" s="68"/>
      <c r="AO94" s="68"/>
      <c r="AP94" s="69">
        <v>0.13</v>
      </c>
      <c r="AQ94" s="70"/>
      <c r="AR94" s="70"/>
      <c r="AS94" s="70"/>
      <c r="AT94" s="70"/>
      <c r="AU94" s="71"/>
      <c r="AV94" s="53"/>
      <c r="AW94" s="53"/>
      <c r="AX94" s="53"/>
      <c r="AY94" s="53"/>
      <c r="AZ94" s="53"/>
      <c r="BA94" s="53"/>
      <c r="BB94" s="69">
        <v>0.13</v>
      </c>
      <c r="BC94" s="70"/>
      <c r="BD94" s="70"/>
      <c r="BE94" s="70"/>
      <c r="BF94" s="70"/>
      <c r="BG94" s="71"/>
      <c r="BH94" s="77">
        <f>0.0029</f>
        <v>0.0029</v>
      </c>
      <c r="BI94" s="77"/>
      <c r="BJ94" s="77"/>
      <c r="BK94" s="77"/>
      <c r="BL94" s="77"/>
      <c r="BM94" s="77"/>
      <c r="BN94" s="53">
        <f t="shared" si="4"/>
        <v>-0.1271</v>
      </c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127"/>
      <c r="CS94" s="127"/>
      <c r="CT94" s="127"/>
      <c r="CU94" s="127"/>
      <c r="CV94" s="127"/>
      <c r="CW94" s="127"/>
    </row>
    <row r="95" spans="3:101" s="17" customFormat="1" ht="15.75">
      <c r="C95" s="62" t="s">
        <v>245</v>
      </c>
      <c r="D95" s="62"/>
      <c r="E95" s="62"/>
      <c r="F95" s="63" t="s">
        <v>296</v>
      </c>
      <c r="G95" s="64"/>
      <c r="H95" s="64"/>
      <c r="I95" s="64"/>
      <c r="J95" s="64"/>
      <c r="K95" s="64"/>
      <c r="L95" s="64"/>
      <c r="M95" s="64"/>
      <c r="N95" s="64"/>
      <c r="O95" s="64"/>
      <c r="P95" s="65"/>
      <c r="Q95" s="66">
        <v>2020</v>
      </c>
      <c r="R95" s="66"/>
      <c r="S95" s="66"/>
      <c r="T95" s="66"/>
      <c r="U95" s="66"/>
      <c r="V95" s="66"/>
      <c r="W95" s="66"/>
      <c r="X95" s="72">
        <v>2020</v>
      </c>
      <c r="Y95" s="73"/>
      <c r="Z95" s="73"/>
      <c r="AA95" s="73"/>
      <c r="AB95" s="73"/>
      <c r="AC95" s="74"/>
      <c r="AD95" s="67"/>
      <c r="AE95" s="67"/>
      <c r="AF95" s="67"/>
      <c r="AG95" s="67"/>
      <c r="AH95" s="67"/>
      <c r="AI95" s="67"/>
      <c r="AJ95" s="68"/>
      <c r="AK95" s="68"/>
      <c r="AL95" s="68"/>
      <c r="AM95" s="68"/>
      <c r="AN95" s="68"/>
      <c r="AO95" s="68"/>
      <c r="AP95" s="69">
        <v>0.13</v>
      </c>
      <c r="AQ95" s="70"/>
      <c r="AR95" s="70"/>
      <c r="AS95" s="70"/>
      <c r="AT95" s="70"/>
      <c r="AU95" s="71"/>
      <c r="AV95" s="53"/>
      <c r="AW95" s="53"/>
      <c r="AX95" s="53"/>
      <c r="AY95" s="53"/>
      <c r="AZ95" s="53"/>
      <c r="BA95" s="53"/>
      <c r="BB95" s="69">
        <v>0.13</v>
      </c>
      <c r="BC95" s="70"/>
      <c r="BD95" s="70"/>
      <c r="BE95" s="70"/>
      <c r="BF95" s="70"/>
      <c r="BG95" s="71"/>
      <c r="BH95" s="77">
        <f>0.0029</f>
        <v>0.0029</v>
      </c>
      <c r="BI95" s="77"/>
      <c r="BJ95" s="77"/>
      <c r="BK95" s="77"/>
      <c r="BL95" s="77"/>
      <c r="BM95" s="77"/>
      <c r="BN95" s="53">
        <f t="shared" si="4"/>
        <v>-0.1271</v>
      </c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127"/>
      <c r="CS95" s="127"/>
      <c r="CT95" s="127"/>
      <c r="CU95" s="127"/>
      <c r="CV95" s="127"/>
      <c r="CW95" s="127"/>
    </row>
    <row r="96" spans="3:102" s="17" customFormat="1" ht="15.75">
      <c r="C96" s="62" t="s">
        <v>246</v>
      </c>
      <c r="D96" s="62"/>
      <c r="E96" s="62"/>
      <c r="F96" s="63" t="s">
        <v>297</v>
      </c>
      <c r="G96" s="64"/>
      <c r="H96" s="64"/>
      <c r="I96" s="64"/>
      <c r="J96" s="64"/>
      <c r="K96" s="64"/>
      <c r="L96" s="64"/>
      <c r="M96" s="64"/>
      <c r="N96" s="64"/>
      <c r="O96" s="64"/>
      <c r="P96" s="65"/>
      <c r="Q96" s="66">
        <v>2020</v>
      </c>
      <c r="R96" s="66"/>
      <c r="S96" s="66"/>
      <c r="T96" s="66"/>
      <c r="U96" s="66"/>
      <c r="V96" s="66"/>
      <c r="W96" s="66"/>
      <c r="X96" s="72">
        <v>2020</v>
      </c>
      <c r="Y96" s="73"/>
      <c r="Z96" s="73"/>
      <c r="AA96" s="73"/>
      <c r="AB96" s="73"/>
      <c r="AC96" s="74"/>
      <c r="AD96" s="84">
        <v>2020</v>
      </c>
      <c r="AE96" s="84"/>
      <c r="AF96" s="84"/>
      <c r="AG96" s="84"/>
      <c r="AH96" s="84"/>
      <c r="AI96" s="84"/>
      <c r="AJ96" s="68">
        <v>100</v>
      </c>
      <c r="AK96" s="68"/>
      <c r="AL96" s="68"/>
      <c r="AM96" s="68"/>
      <c r="AN96" s="68"/>
      <c r="AO96" s="68"/>
      <c r="AP96" s="69">
        <v>0.255</v>
      </c>
      <c r="AQ96" s="70"/>
      <c r="AR96" s="70"/>
      <c r="AS96" s="70"/>
      <c r="AT96" s="70"/>
      <c r="AU96" s="71"/>
      <c r="AV96" s="53"/>
      <c r="AW96" s="53"/>
      <c r="AX96" s="53"/>
      <c r="AY96" s="53"/>
      <c r="AZ96" s="53"/>
      <c r="BA96" s="53"/>
      <c r="BB96" s="69">
        <v>0.255</v>
      </c>
      <c r="BC96" s="70"/>
      <c r="BD96" s="70"/>
      <c r="BE96" s="70"/>
      <c r="BF96" s="70"/>
      <c r="BG96" s="71"/>
      <c r="BH96" s="53">
        <f>0.0029+0.00346+0.087658</f>
        <v>0.094018</v>
      </c>
      <c r="BI96" s="53"/>
      <c r="BJ96" s="53"/>
      <c r="BK96" s="53"/>
      <c r="BL96" s="53"/>
      <c r="BM96" s="53"/>
      <c r="BN96" s="53">
        <v>0</v>
      </c>
      <c r="BO96" s="53"/>
      <c r="BP96" s="53"/>
      <c r="BQ96" s="53"/>
      <c r="BR96" s="53"/>
      <c r="BS96" s="53"/>
      <c r="BT96" s="53">
        <f>SUM(BZ96:CQ96)</f>
        <v>-0.167342</v>
      </c>
      <c r="BU96" s="53"/>
      <c r="BV96" s="53"/>
      <c r="BW96" s="53"/>
      <c r="BX96" s="53"/>
      <c r="BY96" s="53"/>
      <c r="BZ96" s="53">
        <f>0.092299-BB96</f>
        <v>-0.16270099999999998</v>
      </c>
      <c r="CA96" s="53"/>
      <c r="CB96" s="53"/>
      <c r="CC96" s="53"/>
      <c r="CD96" s="53"/>
      <c r="CE96" s="53"/>
      <c r="CF96" s="53">
        <v>0</v>
      </c>
      <c r="CG96" s="53"/>
      <c r="CH96" s="53"/>
      <c r="CI96" s="53"/>
      <c r="CJ96" s="53"/>
      <c r="CK96" s="53"/>
      <c r="CL96" s="77">
        <f>0.087658-0.092299</f>
        <v>-0.004641000000000006</v>
      </c>
      <c r="CM96" s="77"/>
      <c r="CN96" s="77"/>
      <c r="CO96" s="77"/>
      <c r="CP96" s="77"/>
      <c r="CQ96" s="77"/>
      <c r="CR96" s="185" t="s">
        <v>325</v>
      </c>
      <c r="CS96" s="179"/>
      <c r="CT96" s="179"/>
      <c r="CU96" s="179"/>
      <c r="CV96" s="179"/>
      <c r="CW96" s="180"/>
      <c r="CX96" s="20"/>
    </row>
    <row r="97" spans="3:101" s="17" customFormat="1" ht="15.75">
      <c r="C97" s="62" t="s">
        <v>247</v>
      </c>
      <c r="D97" s="62"/>
      <c r="E97" s="62"/>
      <c r="F97" s="63" t="s">
        <v>298</v>
      </c>
      <c r="G97" s="64"/>
      <c r="H97" s="64"/>
      <c r="I97" s="64"/>
      <c r="J97" s="64"/>
      <c r="K97" s="64"/>
      <c r="L97" s="64"/>
      <c r="M97" s="64"/>
      <c r="N97" s="64"/>
      <c r="O97" s="64"/>
      <c r="P97" s="65"/>
      <c r="Q97" s="66">
        <v>2020</v>
      </c>
      <c r="R97" s="66"/>
      <c r="S97" s="66"/>
      <c r="T97" s="66"/>
      <c r="U97" s="66"/>
      <c r="V97" s="66"/>
      <c r="W97" s="66"/>
      <c r="X97" s="72">
        <v>2020</v>
      </c>
      <c r="Y97" s="73"/>
      <c r="Z97" s="73"/>
      <c r="AA97" s="73"/>
      <c r="AB97" s="73"/>
      <c r="AC97" s="74"/>
      <c r="AD97" s="84">
        <v>2020</v>
      </c>
      <c r="AE97" s="84"/>
      <c r="AF97" s="84"/>
      <c r="AG97" s="84"/>
      <c r="AH97" s="84"/>
      <c r="AI97" s="84"/>
      <c r="AJ97" s="68">
        <v>100</v>
      </c>
      <c r="AK97" s="68"/>
      <c r="AL97" s="68"/>
      <c r="AM97" s="68"/>
      <c r="AN97" s="68"/>
      <c r="AO97" s="68"/>
      <c r="AP97" s="69">
        <v>0.375</v>
      </c>
      <c r="AQ97" s="70"/>
      <c r="AR97" s="70"/>
      <c r="AS97" s="70"/>
      <c r="AT97" s="70"/>
      <c r="AU97" s="71"/>
      <c r="AV97" s="53"/>
      <c r="AW97" s="53"/>
      <c r="AX97" s="53"/>
      <c r="AY97" s="53"/>
      <c r="AZ97" s="53"/>
      <c r="BA97" s="53"/>
      <c r="BB97" s="69">
        <v>0.375</v>
      </c>
      <c r="BC97" s="70"/>
      <c r="BD97" s="70"/>
      <c r="BE97" s="70"/>
      <c r="BF97" s="70"/>
      <c r="BG97" s="71"/>
      <c r="BH97" s="53">
        <f>0.0029+0.002768+0.14255</f>
        <v>0.14821800000000002</v>
      </c>
      <c r="BI97" s="53"/>
      <c r="BJ97" s="53"/>
      <c r="BK97" s="53"/>
      <c r="BL97" s="53"/>
      <c r="BM97" s="53"/>
      <c r="BN97" s="53">
        <v>0</v>
      </c>
      <c r="BO97" s="53"/>
      <c r="BP97" s="53"/>
      <c r="BQ97" s="53"/>
      <c r="BR97" s="53"/>
      <c r="BS97" s="53"/>
      <c r="BT97" s="53">
        <f>SUM(BZ97:CQ97)</f>
        <v>-0.23245</v>
      </c>
      <c r="BU97" s="53"/>
      <c r="BV97" s="53"/>
      <c r="BW97" s="53"/>
      <c r="BX97" s="53"/>
      <c r="BY97" s="53"/>
      <c r="BZ97" s="53">
        <f>0.148703-BB97</f>
        <v>-0.226297</v>
      </c>
      <c r="CA97" s="53"/>
      <c r="CB97" s="53"/>
      <c r="CC97" s="53"/>
      <c r="CD97" s="53"/>
      <c r="CE97" s="53"/>
      <c r="CF97" s="53">
        <v>0</v>
      </c>
      <c r="CG97" s="53"/>
      <c r="CH97" s="53"/>
      <c r="CI97" s="53"/>
      <c r="CJ97" s="53"/>
      <c r="CK97" s="53"/>
      <c r="CL97" s="53">
        <f>0.14255-0.148703</f>
        <v>-0.006152999999999992</v>
      </c>
      <c r="CM97" s="53"/>
      <c r="CN97" s="53"/>
      <c r="CO97" s="53"/>
      <c r="CP97" s="53"/>
      <c r="CQ97" s="53"/>
      <c r="CR97" s="186"/>
      <c r="CS97" s="187"/>
      <c r="CT97" s="187"/>
      <c r="CU97" s="187"/>
      <c r="CV97" s="187"/>
      <c r="CW97" s="188"/>
    </row>
    <row r="98" spans="3:102" s="17" customFormat="1" ht="15.75">
      <c r="C98" s="62" t="s">
        <v>248</v>
      </c>
      <c r="D98" s="62"/>
      <c r="E98" s="62"/>
      <c r="F98" s="63" t="s">
        <v>299</v>
      </c>
      <c r="G98" s="64"/>
      <c r="H98" s="64"/>
      <c r="I98" s="64"/>
      <c r="J98" s="64"/>
      <c r="K98" s="64"/>
      <c r="L98" s="64"/>
      <c r="M98" s="64"/>
      <c r="N98" s="64"/>
      <c r="O98" s="64"/>
      <c r="P98" s="65"/>
      <c r="Q98" s="66">
        <v>2020</v>
      </c>
      <c r="R98" s="66"/>
      <c r="S98" s="66"/>
      <c r="T98" s="66"/>
      <c r="U98" s="66"/>
      <c r="V98" s="66"/>
      <c r="W98" s="66"/>
      <c r="X98" s="72">
        <v>2020</v>
      </c>
      <c r="Y98" s="73"/>
      <c r="Z98" s="73"/>
      <c r="AA98" s="73"/>
      <c r="AB98" s="73"/>
      <c r="AC98" s="74"/>
      <c r="AD98" s="84">
        <v>2020</v>
      </c>
      <c r="AE98" s="84"/>
      <c r="AF98" s="84"/>
      <c r="AG98" s="84"/>
      <c r="AH98" s="84"/>
      <c r="AI98" s="84"/>
      <c r="AJ98" s="68">
        <v>100</v>
      </c>
      <c r="AK98" s="68"/>
      <c r="AL98" s="68"/>
      <c r="AM98" s="68"/>
      <c r="AN98" s="68"/>
      <c r="AO98" s="68"/>
      <c r="AP98" s="69">
        <v>0.505</v>
      </c>
      <c r="AQ98" s="70"/>
      <c r="AR98" s="70"/>
      <c r="AS98" s="70"/>
      <c r="AT98" s="70"/>
      <c r="AU98" s="71"/>
      <c r="AV98" s="53"/>
      <c r="AW98" s="53"/>
      <c r="AX98" s="53"/>
      <c r="AY98" s="53"/>
      <c r="AZ98" s="53"/>
      <c r="BA98" s="53"/>
      <c r="BB98" s="69">
        <v>0.505</v>
      </c>
      <c r="BC98" s="70"/>
      <c r="BD98" s="70"/>
      <c r="BE98" s="70"/>
      <c r="BF98" s="70"/>
      <c r="BG98" s="71"/>
      <c r="BH98" s="53">
        <f>0.0035975+0.004152+0.263126+0.0267</f>
        <v>0.29757550000000005</v>
      </c>
      <c r="BI98" s="53"/>
      <c r="BJ98" s="53"/>
      <c r="BK98" s="53"/>
      <c r="BL98" s="53"/>
      <c r="BM98" s="53"/>
      <c r="BN98" s="53">
        <v>0</v>
      </c>
      <c r="BO98" s="53"/>
      <c r="BP98" s="53"/>
      <c r="BQ98" s="53"/>
      <c r="BR98" s="53"/>
      <c r="BS98" s="53"/>
      <c r="BT98" s="53">
        <f>SUM(BZ98:CQ98)</f>
        <v>-0.24187377</v>
      </c>
      <c r="BU98" s="53"/>
      <c r="BV98" s="53"/>
      <c r="BW98" s="53"/>
      <c r="BX98" s="53"/>
      <c r="BY98" s="53"/>
      <c r="BZ98" s="53">
        <f>0.300081-BB98</f>
        <v>-0.20491900000000002</v>
      </c>
      <c r="CA98" s="53"/>
      <c r="CB98" s="53"/>
      <c r="CC98" s="53"/>
      <c r="CD98" s="53"/>
      <c r="CE98" s="53"/>
      <c r="CF98" s="53">
        <v>0</v>
      </c>
      <c r="CG98" s="53"/>
      <c r="CH98" s="53"/>
      <c r="CI98" s="53"/>
      <c r="CJ98" s="53"/>
      <c r="CK98" s="53"/>
      <c r="CL98" s="53">
        <f>0.26312623-0.300081</f>
        <v>-0.03695476999999997</v>
      </c>
      <c r="CM98" s="53"/>
      <c r="CN98" s="53"/>
      <c r="CO98" s="53"/>
      <c r="CP98" s="53"/>
      <c r="CQ98" s="53"/>
      <c r="CR98" s="186"/>
      <c r="CS98" s="187"/>
      <c r="CT98" s="187"/>
      <c r="CU98" s="187"/>
      <c r="CV98" s="187"/>
      <c r="CW98" s="188"/>
      <c r="CX98" s="20"/>
    </row>
    <row r="99" spans="3:101" s="17" customFormat="1" ht="15.75">
      <c r="C99" s="62" t="s">
        <v>249</v>
      </c>
      <c r="D99" s="62"/>
      <c r="E99" s="62"/>
      <c r="F99" s="63" t="s">
        <v>300</v>
      </c>
      <c r="G99" s="64"/>
      <c r="H99" s="64"/>
      <c r="I99" s="64"/>
      <c r="J99" s="64"/>
      <c r="K99" s="64"/>
      <c r="L99" s="64"/>
      <c r="M99" s="64"/>
      <c r="N99" s="64"/>
      <c r="O99" s="64"/>
      <c r="P99" s="65"/>
      <c r="Q99" s="66">
        <v>2020</v>
      </c>
      <c r="R99" s="66"/>
      <c r="S99" s="66"/>
      <c r="T99" s="66"/>
      <c r="U99" s="66"/>
      <c r="V99" s="66"/>
      <c r="W99" s="66"/>
      <c r="X99" s="72">
        <v>2020</v>
      </c>
      <c r="Y99" s="73"/>
      <c r="Z99" s="73"/>
      <c r="AA99" s="73"/>
      <c r="AB99" s="73"/>
      <c r="AC99" s="74"/>
      <c r="AD99" s="84">
        <v>2020</v>
      </c>
      <c r="AE99" s="84"/>
      <c r="AF99" s="84"/>
      <c r="AG99" s="84"/>
      <c r="AH99" s="84"/>
      <c r="AI99" s="84"/>
      <c r="AJ99" s="68">
        <v>100</v>
      </c>
      <c r="AK99" s="68"/>
      <c r="AL99" s="68"/>
      <c r="AM99" s="68"/>
      <c r="AN99" s="68"/>
      <c r="AO99" s="68"/>
      <c r="AP99" s="69">
        <v>0.13</v>
      </c>
      <c r="AQ99" s="70"/>
      <c r="AR99" s="70"/>
      <c r="AS99" s="70"/>
      <c r="AT99" s="70"/>
      <c r="AU99" s="71"/>
      <c r="AV99" s="53"/>
      <c r="AW99" s="53"/>
      <c r="AX99" s="53"/>
      <c r="AY99" s="53"/>
      <c r="AZ99" s="53"/>
      <c r="BA99" s="53"/>
      <c r="BB99" s="69">
        <v>0.13</v>
      </c>
      <c r="BC99" s="70"/>
      <c r="BD99" s="70"/>
      <c r="BE99" s="70"/>
      <c r="BF99" s="70"/>
      <c r="BG99" s="71"/>
      <c r="BH99" s="77">
        <f>0.0029+0.153987-0.0267</f>
        <v>0.130187</v>
      </c>
      <c r="BI99" s="77"/>
      <c r="BJ99" s="77"/>
      <c r="BK99" s="77"/>
      <c r="BL99" s="77"/>
      <c r="BM99" s="77"/>
      <c r="BN99" s="53">
        <v>0</v>
      </c>
      <c r="BO99" s="53"/>
      <c r="BP99" s="53"/>
      <c r="BQ99" s="53"/>
      <c r="BR99" s="53"/>
      <c r="BS99" s="53"/>
      <c r="BT99" s="53">
        <f>SUM(BZ99:CQ99)</f>
        <v>0.02398700000000001</v>
      </c>
      <c r="BU99" s="53"/>
      <c r="BV99" s="53"/>
      <c r="BW99" s="53"/>
      <c r="BX99" s="53"/>
      <c r="BY99" s="53"/>
      <c r="BZ99" s="53">
        <f>0.169877-BB99</f>
        <v>0.039876999999999996</v>
      </c>
      <c r="CA99" s="53"/>
      <c r="CB99" s="53"/>
      <c r="CC99" s="53"/>
      <c r="CD99" s="53"/>
      <c r="CE99" s="53"/>
      <c r="CF99" s="53">
        <v>0</v>
      </c>
      <c r="CG99" s="53"/>
      <c r="CH99" s="53"/>
      <c r="CI99" s="53"/>
      <c r="CJ99" s="53"/>
      <c r="CK99" s="53"/>
      <c r="CL99" s="53">
        <f>0.153987-0.169877</f>
        <v>-0.015889999999999987</v>
      </c>
      <c r="CM99" s="53"/>
      <c r="CN99" s="53"/>
      <c r="CO99" s="53"/>
      <c r="CP99" s="53"/>
      <c r="CQ99" s="53"/>
      <c r="CR99" s="189"/>
      <c r="CS99" s="190"/>
      <c r="CT99" s="190"/>
      <c r="CU99" s="190"/>
      <c r="CV99" s="190"/>
      <c r="CW99" s="191"/>
    </row>
    <row r="100" spans="3:101" s="17" customFormat="1" ht="15.75">
      <c r="C100" s="62" t="s">
        <v>250</v>
      </c>
      <c r="D100" s="62"/>
      <c r="E100" s="62"/>
      <c r="F100" s="63" t="s">
        <v>304</v>
      </c>
      <c r="G100" s="64"/>
      <c r="H100" s="64"/>
      <c r="I100" s="64"/>
      <c r="J100" s="64"/>
      <c r="K100" s="64"/>
      <c r="L100" s="64"/>
      <c r="M100" s="64"/>
      <c r="N100" s="64"/>
      <c r="O100" s="64"/>
      <c r="P100" s="65"/>
      <c r="Q100" s="66">
        <v>2020</v>
      </c>
      <c r="R100" s="66"/>
      <c r="S100" s="66"/>
      <c r="T100" s="66"/>
      <c r="U100" s="66"/>
      <c r="V100" s="66"/>
      <c r="W100" s="66"/>
      <c r="X100" s="72">
        <v>2020</v>
      </c>
      <c r="Y100" s="73"/>
      <c r="Z100" s="73"/>
      <c r="AA100" s="73"/>
      <c r="AB100" s="73"/>
      <c r="AC100" s="74"/>
      <c r="AD100" s="84"/>
      <c r="AE100" s="84"/>
      <c r="AF100" s="84"/>
      <c r="AG100" s="84"/>
      <c r="AH100" s="84"/>
      <c r="AI100" s="84"/>
      <c r="AJ100" s="68"/>
      <c r="AK100" s="68"/>
      <c r="AL100" s="68"/>
      <c r="AM100" s="68"/>
      <c r="AN100" s="68"/>
      <c r="AO100" s="68"/>
      <c r="AP100" s="69">
        <v>0.745</v>
      </c>
      <c r="AQ100" s="70"/>
      <c r="AR100" s="70"/>
      <c r="AS100" s="70"/>
      <c r="AT100" s="70"/>
      <c r="AU100" s="71"/>
      <c r="AV100" s="53"/>
      <c r="AW100" s="53"/>
      <c r="AX100" s="53"/>
      <c r="AY100" s="53"/>
      <c r="AZ100" s="53"/>
      <c r="BA100" s="53"/>
      <c r="BB100" s="69">
        <v>0.745</v>
      </c>
      <c r="BC100" s="70"/>
      <c r="BD100" s="70"/>
      <c r="BE100" s="70"/>
      <c r="BF100" s="70"/>
      <c r="BG100" s="71"/>
      <c r="BH100" s="53"/>
      <c r="BI100" s="53"/>
      <c r="BJ100" s="53"/>
      <c r="BK100" s="53"/>
      <c r="BL100" s="53"/>
      <c r="BM100" s="53"/>
      <c r="BN100" s="53">
        <f>SUM(BH100-BB100)</f>
        <v>-0.745</v>
      </c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127"/>
      <c r="CS100" s="127"/>
      <c r="CT100" s="127"/>
      <c r="CU100" s="127"/>
      <c r="CV100" s="127"/>
      <c r="CW100" s="127"/>
    </row>
    <row r="101" spans="3:101" s="17" customFormat="1" ht="15.75">
      <c r="C101" s="62" t="s">
        <v>301</v>
      </c>
      <c r="D101" s="62"/>
      <c r="E101" s="62"/>
      <c r="F101" s="63" t="s">
        <v>305</v>
      </c>
      <c r="G101" s="64"/>
      <c r="H101" s="64"/>
      <c r="I101" s="64"/>
      <c r="J101" s="64"/>
      <c r="K101" s="64"/>
      <c r="L101" s="64"/>
      <c r="M101" s="64"/>
      <c r="N101" s="64"/>
      <c r="O101" s="64"/>
      <c r="P101" s="65"/>
      <c r="Q101" s="66">
        <v>2020</v>
      </c>
      <c r="R101" s="66"/>
      <c r="S101" s="66"/>
      <c r="T101" s="66"/>
      <c r="U101" s="66"/>
      <c r="V101" s="66"/>
      <c r="W101" s="66"/>
      <c r="X101" s="72">
        <v>2020</v>
      </c>
      <c r="Y101" s="73"/>
      <c r="Z101" s="73"/>
      <c r="AA101" s="73"/>
      <c r="AB101" s="73"/>
      <c r="AC101" s="74"/>
      <c r="AD101" s="84">
        <v>2020</v>
      </c>
      <c r="AE101" s="84"/>
      <c r="AF101" s="84"/>
      <c r="AG101" s="84"/>
      <c r="AH101" s="84"/>
      <c r="AI101" s="84"/>
      <c r="AJ101" s="68">
        <v>100</v>
      </c>
      <c r="AK101" s="68"/>
      <c r="AL101" s="68"/>
      <c r="AM101" s="68"/>
      <c r="AN101" s="68"/>
      <c r="AO101" s="68"/>
      <c r="AP101" s="69">
        <v>0.38</v>
      </c>
      <c r="AQ101" s="70"/>
      <c r="AR101" s="70"/>
      <c r="AS101" s="70"/>
      <c r="AT101" s="70"/>
      <c r="AU101" s="71"/>
      <c r="AV101" s="53"/>
      <c r="AW101" s="53"/>
      <c r="AX101" s="53"/>
      <c r="AY101" s="53"/>
      <c r="AZ101" s="53"/>
      <c r="BA101" s="53"/>
      <c r="BB101" s="69">
        <v>0.38</v>
      </c>
      <c r="BC101" s="70"/>
      <c r="BD101" s="70"/>
      <c r="BE101" s="70"/>
      <c r="BF101" s="70"/>
      <c r="BG101" s="71"/>
      <c r="BH101" s="53">
        <f>0.0029+0.004844+0.21622</f>
        <v>0.223964</v>
      </c>
      <c r="BI101" s="53"/>
      <c r="BJ101" s="53"/>
      <c r="BK101" s="53"/>
      <c r="BL101" s="53"/>
      <c r="BM101" s="53"/>
      <c r="BN101" s="53">
        <v>0</v>
      </c>
      <c r="BO101" s="53"/>
      <c r="BP101" s="53"/>
      <c r="BQ101" s="53"/>
      <c r="BR101" s="53"/>
      <c r="BS101" s="53"/>
      <c r="BT101" s="53">
        <f>SUM(BZ101:CQ101)</f>
        <v>-0.16378</v>
      </c>
      <c r="BU101" s="53"/>
      <c r="BV101" s="53"/>
      <c r="BW101" s="53"/>
      <c r="BX101" s="53"/>
      <c r="BY101" s="53"/>
      <c r="BZ101" s="53">
        <f>0.227895-BB101</f>
        <v>-0.15210500000000002</v>
      </c>
      <c r="CA101" s="53"/>
      <c r="CB101" s="53"/>
      <c r="CC101" s="53"/>
      <c r="CD101" s="53"/>
      <c r="CE101" s="53"/>
      <c r="CF101" s="53">
        <v>0</v>
      </c>
      <c r="CG101" s="53"/>
      <c r="CH101" s="53"/>
      <c r="CI101" s="53"/>
      <c r="CJ101" s="53"/>
      <c r="CK101" s="53"/>
      <c r="CL101" s="53">
        <f>0.21622-0.227895</f>
        <v>-0.011674999999999991</v>
      </c>
      <c r="CM101" s="53"/>
      <c r="CN101" s="53"/>
      <c r="CO101" s="53"/>
      <c r="CP101" s="53"/>
      <c r="CQ101" s="53"/>
      <c r="CR101" s="185" t="s">
        <v>325</v>
      </c>
      <c r="CS101" s="179"/>
      <c r="CT101" s="179"/>
      <c r="CU101" s="179"/>
      <c r="CV101" s="179"/>
      <c r="CW101" s="180"/>
    </row>
    <row r="102" spans="3:101" s="17" customFormat="1" ht="15.75">
      <c r="C102" s="62" t="s">
        <v>302</v>
      </c>
      <c r="D102" s="62"/>
      <c r="E102" s="62"/>
      <c r="F102" s="63" t="s">
        <v>306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5"/>
      <c r="Q102" s="66">
        <v>2020</v>
      </c>
      <c r="R102" s="66"/>
      <c r="S102" s="66"/>
      <c r="T102" s="66"/>
      <c r="U102" s="66"/>
      <c r="V102" s="66"/>
      <c r="W102" s="66"/>
      <c r="X102" s="72">
        <v>2020</v>
      </c>
      <c r="Y102" s="73"/>
      <c r="Z102" s="73"/>
      <c r="AA102" s="73"/>
      <c r="AB102" s="73"/>
      <c r="AC102" s="74"/>
      <c r="AD102" s="84">
        <v>2020</v>
      </c>
      <c r="AE102" s="84"/>
      <c r="AF102" s="84"/>
      <c r="AG102" s="84"/>
      <c r="AH102" s="84"/>
      <c r="AI102" s="84"/>
      <c r="AJ102" s="68">
        <v>100</v>
      </c>
      <c r="AK102" s="68"/>
      <c r="AL102" s="68"/>
      <c r="AM102" s="68"/>
      <c r="AN102" s="68"/>
      <c r="AO102" s="68"/>
      <c r="AP102" s="69">
        <v>0.26</v>
      </c>
      <c r="AQ102" s="70"/>
      <c r="AR102" s="70"/>
      <c r="AS102" s="70"/>
      <c r="AT102" s="70"/>
      <c r="AU102" s="71"/>
      <c r="AV102" s="53"/>
      <c r="AW102" s="53"/>
      <c r="AX102" s="53"/>
      <c r="AY102" s="53"/>
      <c r="AZ102" s="53"/>
      <c r="BA102" s="53"/>
      <c r="BB102" s="69">
        <v>0.26</v>
      </c>
      <c r="BC102" s="70"/>
      <c r="BD102" s="70"/>
      <c r="BE102" s="70"/>
      <c r="BF102" s="70"/>
      <c r="BG102" s="71"/>
      <c r="BH102" s="53">
        <f>0.0029+0.00346+0.103921</f>
        <v>0.110281</v>
      </c>
      <c r="BI102" s="53"/>
      <c r="BJ102" s="53"/>
      <c r="BK102" s="53"/>
      <c r="BL102" s="53"/>
      <c r="BM102" s="53"/>
      <c r="BN102" s="53">
        <v>0</v>
      </c>
      <c r="BO102" s="53"/>
      <c r="BP102" s="53"/>
      <c r="BQ102" s="53"/>
      <c r="BR102" s="53"/>
      <c r="BS102" s="53"/>
      <c r="BT102" s="53">
        <f>SUM(BZ102:CQ102)</f>
        <v>-0.15607900000000002</v>
      </c>
      <c r="BU102" s="53"/>
      <c r="BV102" s="53"/>
      <c r="BW102" s="53"/>
      <c r="BX102" s="53"/>
      <c r="BY102" s="53"/>
      <c r="BZ102" s="53">
        <f>0.10699-BB102</f>
        <v>-0.15301</v>
      </c>
      <c r="CA102" s="53"/>
      <c r="CB102" s="53"/>
      <c r="CC102" s="53"/>
      <c r="CD102" s="53"/>
      <c r="CE102" s="53"/>
      <c r="CF102" s="53">
        <v>0</v>
      </c>
      <c r="CG102" s="53"/>
      <c r="CH102" s="53"/>
      <c r="CI102" s="53"/>
      <c r="CJ102" s="53"/>
      <c r="CK102" s="53"/>
      <c r="CL102" s="77">
        <f>0.103921-0.10699</f>
        <v>-0.0030690000000000023</v>
      </c>
      <c r="CM102" s="77"/>
      <c r="CN102" s="77"/>
      <c r="CO102" s="77"/>
      <c r="CP102" s="77"/>
      <c r="CQ102" s="77"/>
      <c r="CR102" s="186"/>
      <c r="CS102" s="187"/>
      <c r="CT102" s="187"/>
      <c r="CU102" s="187"/>
      <c r="CV102" s="187"/>
      <c r="CW102" s="188"/>
    </row>
    <row r="103" spans="3:101" s="17" customFormat="1" ht="15.75">
      <c r="C103" s="62" t="s">
        <v>303</v>
      </c>
      <c r="D103" s="62"/>
      <c r="E103" s="62"/>
      <c r="F103" s="63" t="s">
        <v>307</v>
      </c>
      <c r="G103" s="64"/>
      <c r="H103" s="64"/>
      <c r="I103" s="64"/>
      <c r="J103" s="64"/>
      <c r="K103" s="64"/>
      <c r="L103" s="64"/>
      <c r="M103" s="64"/>
      <c r="N103" s="64"/>
      <c r="O103" s="64"/>
      <c r="P103" s="65"/>
      <c r="Q103" s="66">
        <v>2020</v>
      </c>
      <c r="R103" s="66"/>
      <c r="S103" s="66"/>
      <c r="T103" s="66"/>
      <c r="U103" s="66"/>
      <c r="V103" s="66"/>
      <c r="W103" s="66"/>
      <c r="X103" s="72">
        <v>2020</v>
      </c>
      <c r="Y103" s="73"/>
      <c r="Z103" s="73"/>
      <c r="AA103" s="73"/>
      <c r="AB103" s="73"/>
      <c r="AC103" s="74"/>
      <c r="AD103" s="72">
        <v>2020</v>
      </c>
      <c r="AE103" s="73"/>
      <c r="AF103" s="73"/>
      <c r="AG103" s="73"/>
      <c r="AH103" s="73"/>
      <c r="AI103" s="74"/>
      <c r="AJ103" s="68">
        <v>100</v>
      </c>
      <c r="AK103" s="68"/>
      <c r="AL103" s="68"/>
      <c r="AM103" s="68"/>
      <c r="AN103" s="68"/>
      <c r="AO103" s="68"/>
      <c r="AP103" s="69">
        <v>0.38</v>
      </c>
      <c r="AQ103" s="70"/>
      <c r="AR103" s="70"/>
      <c r="AS103" s="70"/>
      <c r="AT103" s="70"/>
      <c r="AU103" s="71"/>
      <c r="AV103" s="53"/>
      <c r="AW103" s="53"/>
      <c r="AX103" s="53"/>
      <c r="AY103" s="53"/>
      <c r="AZ103" s="53"/>
      <c r="BA103" s="53"/>
      <c r="BB103" s="69">
        <v>0.38</v>
      </c>
      <c r="BC103" s="70"/>
      <c r="BD103" s="70"/>
      <c r="BE103" s="70"/>
      <c r="BF103" s="70"/>
      <c r="BG103" s="71"/>
      <c r="BH103" s="53">
        <f>0.0041171+0.004152+0.334398</f>
        <v>0.3426671</v>
      </c>
      <c r="BI103" s="53"/>
      <c r="BJ103" s="53"/>
      <c r="BK103" s="53"/>
      <c r="BL103" s="53"/>
      <c r="BM103" s="53"/>
      <c r="BN103" s="53">
        <v>0</v>
      </c>
      <c r="BO103" s="53"/>
      <c r="BP103" s="53"/>
      <c r="BQ103" s="53"/>
      <c r="BR103" s="53"/>
      <c r="BS103" s="53"/>
      <c r="BT103" s="53">
        <f>SUM(BZ103:CQ103)</f>
        <v>-0.04560200000000003</v>
      </c>
      <c r="BU103" s="53"/>
      <c r="BV103" s="53"/>
      <c r="BW103" s="53"/>
      <c r="BX103" s="53"/>
      <c r="BY103" s="53"/>
      <c r="BZ103" s="53">
        <f>0.343271-BB103</f>
        <v>-0.03672900000000001</v>
      </c>
      <c r="CA103" s="53"/>
      <c r="CB103" s="53"/>
      <c r="CC103" s="53"/>
      <c r="CD103" s="53"/>
      <c r="CE103" s="53"/>
      <c r="CF103" s="53">
        <v>0</v>
      </c>
      <c r="CG103" s="53"/>
      <c r="CH103" s="53"/>
      <c r="CI103" s="53"/>
      <c r="CJ103" s="53"/>
      <c r="CK103" s="53"/>
      <c r="CL103" s="53">
        <f>0.334398-0.343271</f>
        <v>-0.00887300000000002</v>
      </c>
      <c r="CM103" s="53"/>
      <c r="CN103" s="53"/>
      <c r="CO103" s="53"/>
      <c r="CP103" s="53"/>
      <c r="CQ103" s="53"/>
      <c r="CR103" s="189"/>
      <c r="CS103" s="190"/>
      <c r="CT103" s="190"/>
      <c r="CU103" s="190"/>
      <c r="CV103" s="190"/>
      <c r="CW103" s="191"/>
    </row>
    <row r="104" spans="3:102" s="17" customFormat="1" ht="15.75">
      <c r="C104" s="62" t="s">
        <v>251</v>
      </c>
      <c r="D104" s="62"/>
      <c r="E104" s="62"/>
      <c r="F104" s="63" t="s">
        <v>308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5"/>
      <c r="Q104" s="66">
        <v>2020</v>
      </c>
      <c r="R104" s="66"/>
      <c r="S104" s="66"/>
      <c r="T104" s="66"/>
      <c r="U104" s="66"/>
      <c r="V104" s="66"/>
      <c r="W104" s="66"/>
      <c r="X104" s="72">
        <v>2020</v>
      </c>
      <c r="Y104" s="73"/>
      <c r="Z104" s="73"/>
      <c r="AA104" s="73"/>
      <c r="AB104" s="73"/>
      <c r="AC104" s="74"/>
      <c r="AD104" s="67"/>
      <c r="AE104" s="67"/>
      <c r="AF104" s="67"/>
      <c r="AG104" s="67"/>
      <c r="AH104" s="67"/>
      <c r="AI104" s="67"/>
      <c r="AJ104" s="68"/>
      <c r="AK104" s="68"/>
      <c r="AL104" s="68"/>
      <c r="AM104" s="68"/>
      <c r="AN104" s="68"/>
      <c r="AO104" s="68"/>
      <c r="AP104" s="69">
        <v>2.3</v>
      </c>
      <c r="AQ104" s="70"/>
      <c r="AR104" s="70"/>
      <c r="AS104" s="70"/>
      <c r="AT104" s="70"/>
      <c r="AU104" s="71"/>
      <c r="AV104" s="53"/>
      <c r="AW104" s="53"/>
      <c r="AX104" s="53"/>
      <c r="AY104" s="53"/>
      <c r="AZ104" s="53"/>
      <c r="BA104" s="53"/>
      <c r="BB104" s="69">
        <v>2.3</v>
      </c>
      <c r="BC104" s="70"/>
      <c r="BD104" s="70"/>
      <c r="BE104" s="70"/>
      <c r="BF104" s="70"/>
      <c r="BG104" s="71"/>
      <c r="BH104" s="53">
        <f>0.02679086+0.315917</f>
        <v>0.34270786</v>
      </c>
      <c r="BI104" s="53"/>
      <c r="BJ104" s="53"/>
      <c r="BK104" s="53"/>
      <c r="BL104" s="53"/>
      <c r="BM104" s="53"/>
      <c r="BN104" s="53">
        <f>SUM(BH104-BB104)</f>
        <v>-1.9572921399999998</v>
      </c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127"/>
      <c r="CS104" s="127"/>
      <c r="CT104" s="127"/>
      <c r="CU104" s="127"/>
      <c r="CV104" s="127"/>
      <c r="CW104" s="127"/>
      <c r="CX104" s="18"/>
    </row>
    <row r="105" spans="3:101" s="17" customFormat="1" ht="26.25" customHeight="1">
      <c r="C105" s="139" t="s">
        <v>309</v>
      </c>
      <c r="D105" s="139"/>
      <c r="E105" s="139"/>
      <c r="F105" s="108" t="s">
        <v>138</v>
      </c>
      <c r="G105" s="109"/>
      <c r="H105" s="109"/>
      <c r="I105" s="109"/>
      <c r="J105" s="109"/>
      <c r="K105" s="109"/>
      <c r="L105" s="109"/>
      <c r="M105" s="109"/>
      <c r="N105" s="109"/>
      <c r="O105" s="109"/>
      <c r="P105" s="110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79"/>
      <c r="AK105" s="79"/>
      <c r="AL105" s="79"/>
      <c r="AM105" s="79"/>
      <c r="AN105" s="79"/>
      <c r="AO105" s="79"/>
      <c r="AP105" s="76">
        <f>SUM(AP106:AU111)</f>
        <v>37.46</v>
      </c>
      <c r="AQ105" s="76"/>
      <c r="AR105" s="76"/>
      <c r="AS105" s="76"/>
      <c r="AT105" s="76"/>
      <c r="AU105" s="76"/>
      <c r="AV105" s="53"/>
      <c r="AW105" s="53"/>
      <c r="AX105" s="53"/>
      <c r="AY105" s="53"/>
      <c r="AZ105" s="53"/>
      <c r="BA105" s="53"/>
      <c r="BB105" s="76">
        <f>SUM(BB106:BG111)</f>
        <v>37.46</v>
      </c>
      <c r="BC105" s="76"/>
      <c r="BD105" s="76"/>
      <c r="BE105" s="76"/>
      <c r="BF105" s="76"/>
      <c r="BG105" s="76"/>
      <c r="BH105" s="76">
        <f>SUM(BH106:BM111)</f>
        <v>7.607776239999999</v>
      </c>
      <c r="BI105" s="76"/>
      <c r="BJ105" s="76"/>
      <c r="BK105" s="76"/>
      <c r="BL105" s="76"/>
      <c r="BM105" s="76"/>
      <c r="BN105" s="76">
        <f>SUM(BN106:BS111)</f>
        <v>-24.64917397</v>
      </c>
      <c r="BO105" s="76"/>
      <c r="BP105" s="76"/>
      <c r="BQ105" s="76"/>
      <c r="BR105" s="76"/>
      <c r="BS105" s="76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127"/>
      <c r="CS105" s="127"/>
      <c r="CT105" s="127"/>
      <c r="CU105" s="127"/>
      <c r="CV105" s="127"/>
      <c r="CW105" s="127"/>
    </row>
    <row r="106" spans="3:101" s="17" customFormat="1" ht="32.25" customHeight="1">
      <c r="C106" s="62" t="s">
        <v>311</v>
      </c>
      <c r="D106" s="62"/>
      <c r="E106" s="62"/>
      <c r="F106" s="174" t="s">
        <v>310</v>
      </c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66">
        <v>2020</v>
      </c>
      <c r="R106" s="66"/>
      <c r="S106" s="66"/>
      <c r="T106" s="66"/>
      <c r="U106" s="66"/>
      <c r="V106" s="66"/>
      <c r="W106" s="66"/>
      <c r="X106" s="72">
        <v>2020</v>
      </c>
      <c r="Y106" s="73"/>
      <c r="Z106" s="73"/>
      <c r="AA106" s="73"/>
      <c r="AB106" s="73"/>
      <c r="AC106" s="74"/>
      <c r="AD106" s="67"/>
      <c r="AE106" s="67"/>
      <c r="AF106" s="67"/>
      <c r="AG106" s="67"/>
      <c r="AH106" s="67"/>
      <c r="AI106" s="67"/>
      <c r="AJ106" s="68"/>
      <c r="AK106" s="68"/>
      <c r="AL106" s="68"/>
      <c r="AM106" s="68"/>
      <c r="AN106" s="68"/>
      <c r="AO106" s="68"/>
      <c r="AP106" s="75">
        <v>10.81</v>
      </c>
      <c r="AQ106" s="75"/>
      <c r="AR106" s="75"/>
      <c r="AS106" s="75"/>
      <c r="AT106" s="75"/>
      <c r="AU106" s="75"/>
      <c r="AV106" s="53"/>
      <c r="AW106" s="53"/>
      <c r="AX106" s="53"/>
      <c r="AY106" s="53"/>
      <c r="AZ106" s="53"/>
      <c r="BA106" s="53"/>
      <c r="BB106" s="75">
        <v>10.81</v>
      </c>
      <c r="BC106" s="75"/>
      <c r="BD106" s="75"/>
      <c r="BE106" s="75"/>
      <c r="BF106" s="75"/>
      <c r="BG106" s="75"/>
      <c r="BH106" s="53"/>
      <c r="BI106" s="53"/>
      <c r="BJ106" s="53"/>
      <c r="BK106" s="53"/>
      <c r="BL106" s="53"/>
      <c r="BM106" s="53"/>
      <c r="BN106" s="53">
        <f aca="true" t="shared" si="5" ref="BN106:BN111">SUM(BH106-BB106)</f>
        <v>-10.81</v>
      </c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127"/>
      <c r="CS106" s="127"/>
      <c r="CT106" s="127"/>
      <c r="CU106" s="127"/>
      <c r="CV106" s="127"/>
      <c r="CW106" s="127"/>
    </row>
    <row r="107" spans="3:101" s="17" customFormat="1" ht="16.5" customHeight="1">
      <c r="C107" s="62" t="s">
        <v>312</v>
      </c>
      <c r="D107" s="62"/>
      <c r="E107" s="62"/>
      <c r="F107" s="67" t="s">
        <v>141</v>
      </c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6">
        <v>2020</v>
      </c>
      <c r="R107" s="66"/>
      <c r="S107" s="66"/>
      <c r="T107" s="66"/>
      <c r="U107" s="66"/>
      <c r="V107" s="66"/>
      <c r="W107" s="66"/>
      <c r="X107" s="72">
        <v>2020</v>
      </c>
      <c r="Y107" s="73"/>
      <c r="Z107" s="73"/>
      <c r="AA107" s="73"/>
      <c r="AB107" s="73"/>
      <c r="AC107" s="74"/>
      <c r="AD107" s="67"/>
      <c r="AE107" s="67"/>
      <c r="AF107" s="67"/>
      <c r="AG107" s="67"/>
      <c r="AH107" s="67"/>
      <c r="AI107" s="67"/>
      <c r="AJ107" s="68"/>
      <c r="AK107" s="68"/>
      <c r="AL107" s="68"/>
      <c r="AM107" s="68"/>
      <c r="AN107" s="68"/>
      <c r="AO107" s="68"/>
      <c r="AP107" s="75">
        <v>3</v>
      </c>
      <c r="AQ107" s="75"/>
      <c r="AR107" s="75"/>
      <c r="AS107" s="75"/>
      <c r="AT107" s="75"/>
      <c r="AU107" s="75"/>
      <c r="AV107" s="53"/>
      <c r="AW107" s="53"/>
      <c r="AX107" s="53"/>
      <c r="AY107" s="53"/>
      <c r="AZ107" s="53"/>
      <c r="BA107" s="53"/>
      <c r="BB107" s="75">
        <v>3</v>
      </c>
      <c r="BC107" s="75"/>
      <c r="BD107" s="75"/>
      <c r="BE107" s="75"/>
      <c r="BF107" s="75"/>
      <c r="BG107" s="75"/>
      <c r="BH107" s="53"/>
      <c r="BI107" s="53"/>
      <c r="BJ107" s="53"/>
      <c r="BK107" s="53"/>
      <c r="BL107" s="53"/>
      <c r="BM107" s="53"/>
      <c r="BN107" s="53">
        <f t="shared" si="5"/>
        <v>-3</v>
      </c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127"/>
      <c r="CS107" s="127"/>
      <c r="CT107" s="127"/>
      <c r="CU107" s="127"/>
      <c r="CV107" s="127"/>
      <c r="CW107" s="127"/>
    </row>
    <row r="108" spans="3:101" s="17" customFormat="1" ht="27.75" customHeight="1">
      <c r="C108" s="62" t="s">
        <v>313</v>
      </c>
      <c r="D108" s="62"/>
      <c r="E108" s="62"/>
      <c r="F108" s="96" t="s">
        <v>317</v>
      </c>
      <c r="G108" s="97"/>
      <c r="H108" s="97"/>
      <c r="I108" s="97"/>
      <c r="J108" s="97"/>
      <c r="K108" s="97"/>
      <c r="L108" s="97"/>
      <c r="M108" s="97"/>
      <c r="N108" s="97"/>
      <c r="O108" s="97"/>
      <c r="P108" s="98"/>
      <c r="Q108" s="66">
        <v>2020</v>
      </c>
      <c r="R108" s="66"/>
      <c r="S108" s="66"/>
      <c r="T108" s="66"/>
      <c r="U108" s="66"/>
      <c r="V108" s="66"/>
      <c r="W108" s="66"/>
      <c r="X108" s="72">
        <v>2020</v>
      </c>
      <c r="Y108" s="73"/>
      <c r="Z108" s="73"/>
      <c r="AA108" s="73"/>
      <c r="AB108" s="73"/>
      <c r="AC108" s="74"/>
      <c r="AD108" s="72">
        <v>2020</v>
      </c>
      <c r="AE108" s="73"/>
      <c r="AF108" s="73"/>
      <c r="AG108" s="73"/>
      <c r="AH108" s="73"/>
      <c r="AI108" s="74"/>
      <c r="AJ108" s="68">
        <v>100</v>
      </c>
      <c r="AK108" s="68"/>
      <c r="AL108" s="68"/>
      <c r="AM108" s="68"/>
      <c r="AN108" s="68"/>
      <c r="AO108" s="68"/>
      <c r="AP108" s="75">
        <v>12.72</v>
      </c>
      <c r="AQ108" s="75"/>
      <c r="AR108" s="75"/>
      <c r="AS108" s="75"/>
      <c r="AT108" s="75"/>
      <c r="AU108" s="75"/>
      <c r="AV108" s="53"/>
      <c r="AW108" s="53"/>
      <c r="AX108" s="53"/>
      <c r="AY108" s="53"/>
      <c r="AZ108" s="53"/>
      <c r="BA108" s="53"/>
      <c r="BB108" s="75">
        <v>12.72</v>
      </c>
      <c r="BC108" s="75"/>
      <c r="BD108" s="75"/>
      <c r="BE108" s="75"/>
      <c r="BF108" s="75"/>
      <c r="BG108" s="75"/>
      <c r="BH108" s="53">
        <f>0.0276+0.18568632+4.6430269+0.707257+0.758678+0.817384+0.37731799</f>
        <v>7.516950209999999</v>
      </c>
      <c r="BI108" s="53"/>
      <c r="BJ108" s="53"/>
      <c r="BK108" s="53"/>
      <c r="BL108" s="53"/>
      <c r="BM108" s="53"/>
      <c r="BN108" s="53">
        <v>0</v>
      </c>
      <c r="BO108" s="53"/>
      <c r="BP108" s="53"/>
      <c r="BQ108" s="53"/>
      <c r="BR108" s="53"/>
      <c r="BS108" s="53"/>
      <c r="BT108" s="53">
        <f>SUM(BZ108:CQ108)</f>
        <v>-5.927200000000001</v>
      </c>
      <c r="BU108" s="53"/>
      <c r="BV108" s="53"/>
      <c r="BW108" s="53"/>
      <c r="BX108" s="53"/>
      <c r="BY108" s="53"/>
      <c r="BZ108" s="53">
        <f>10.296-BB108</f>
        <v>-2.4240000000000013</v>
      </c>
      <c r="CA108" s="53"/>
      <c r="CB108" s="53"/>
      <c r="CC108" s="53"/>
      <c r="CD108" s="53"/>
      <c r="CE108" s="53"/>
      <c r="CF108" s="53">
        <f>6.8918-10.296</f>
        <v>-3.4041999999999994</v>
      </c>
      <c r="CG108" s="53"/>
      <c r="CH108" s="53"/>
      <c r="CI108" s="53"/>
      <c r="CJ108" s="53"/>
      <c r="CK108" s="53"/>
      <c r="CL108" s="53">
        <f>6.792-6.891</f>
        <v>-0.0990000000000002</v>
      </c>
      <c r="CM108" s="53"/>
      <c r="CN108" s="53"/>
      <c r="CO108" s="53"/>
      <c r="CP108" s="53"/>
      <c r="CQ108" s="53"/>
      <c r="CR108" s="128" t="s">
        <v>327</v>
      </c>
      <c r="CS108" s="129"/>
      <c r="CT108" s="129"/>
      <c r="CU108" s="129"/>
      <c r="CV108" s="129"/>
      <c r="CW108" s="130"/>
    </row>
    <row r="109" spans="3:101" ht="18" customHeight="1">
      <c r="C109" s="57" t="s">
        <v>314</v>
      </c>
      <c r="D109" s="57"/>
      <c r="E109" s="57"/>
      <c r="F109" s="58" t="s">
        <v>318</v>
      </c>
      <c r="G109" s="59"/>
      <c r="H109" s="59"/>
      <c r="I109" s="59"/>
      <c r="J109" s="59"/>
      <c r="K109" s="59"/>
      <c r="L109" s="59"/>
      <c r="M109" s="59"/>
      <c r="N109" s="59"/>
      <c r="O109" s="59"/>
      <c r="P109" s="60"/>
      <c r="Q109" s="56">
        <v>2020</v>
      </c>
      <c r="R109" s="56"/>
      <c r="S109" s="56"/>
      <c r="T109" s="56"/>
      <c r="U109" s="56"/>
      <c r="V109" s="56"/>
      <c r="W109" s="56"/>
      <c r="X109" s="32">
        <v>2020</v>
      </c>
      <c r="Y109" s="33"/>
      <c r="Z109" s="33"/>
      <c r="AA109" s="33"/>
      <c r="AB109" s="33"/>
      <c r="AC109" s="34"/>
      <c r="AD109" s="52"/>
      <c r="AE109" s="52"/>
      <c r="AF109" s="52"/>
      <c r="AG109" s="52"/>
      <c r="AH109" s="52"/>
      <c r="AI109" s="52"/>
      <c r="AJ109" s="32"/>
      <c r="AK109" s="33"/>
      <c r="AL109" s="33"/>
      <c r="AM109" s="33"/>
      <c r="AN109" s="33"/>
      <c r="AO109" s="34"/>
      <c r="AP109" s="61">
        <v>2.74</v>
      </c>
      <c r="AQ109" s="61"/>
      <c r="AR109" s="61"/>
      <c r="AS109" s="61"/>
      <c r="AT109" s="61"/>
      <c r="AU109" s="61"/>
      <c r="AV109" s="54"/>
      <c r="AW109" s="54"/>
      <c r="AX109" s="54"/>
      <c r="AY109" s="54"/>
      <c r="AZ109" s="54"/>
      <c r="BA109" s="54"/>
      <c r="BB109" s="61">
        <v>2.74</v>
      </c>
      <c r="BC109" s="61"/>
      <c r="BD109" s="61"/>
      <c r="BE109" s="61"/>
      <c r="BF109" s="61"/>
      <c r="BG109" s="61"/>
      <c r="BH109" s="54">
        <v>0.079001</v>
      </c>
      <c r="BI109" s="54"/>
      <c r="BJ109" s="54"/>
      <c r="BK109" s="54"/>
      <c r="BL109" s="54"/>
      <c r="BM109" s="54"/>
      <c r="BN109" s="53">
        <f t="shared" si="5"/>
        <v>-2.6609990000000003</v>
      </c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5"/>
      <c r="CS109" s="55"/>
      <c r="CT109" s="55"/>
      <c r="CU109" s="55"/>
      <c r="CV109" s="55"/>
      <c r="CW109" s="55"/>
    </row>
    <row r="110" spans="3:101" ht="21" customHeight="1">
      <c r="C110" s="57" t="s">
        <v>315</v>
      </c>
      <c r="D110" s="57"/>
      <c r="E110" s="57"/>
      <c r="F110" s="58" t="s">
        <v>319</v>
      </c>
      <c r="G110" s="59"/>
      <c r="H110" s="59"/>
      <c r="I110" s="59"/>
      <c r="J110" s="59"/>
      <c r="K110" s="59"/>
      <c r="L110" s="59"/>
      <c r="M110" s="59"/>
      <c r="N110" s="59"/>
      <c r="O110" s="59"/>
      <c r="P110" s="60"/>
      <c r="Q110" s="56">
        <v>2020</v>
      </c>
      <c r="R110" s="56"/>
      <c r="S110" s="56"/>
      <c r="T110" s="56"/>
      <c r="U110" s="56"/>
      <c r="V110" s="56"/>
      <c r="W110" s="56"/>
      <c r="X110" s="32">
        <v>2020</v>
      </c>
      <c r="Y110" s="33"/>
      <c r="Z110" s="33"/>
      <c r="AA110" s="33"/>
      <c r="AB110" s="33"/>
      <c r="AC110" s="34"/>
      <c r="AD110" s="52"/>
      <c r="AE110" s="52"/>
      <c r="AF110" s="52"/>
      <c r="AG110" s="52"/>
      <c r="AH110" s="52"/>
      <c r="AI110" s="52"/>
      <c r="AJ110" s="32"/>
      <c r="AK110" s="33"/>
      <c r="AL110" s="33"/>
      <c r="AM110" s="33"/>
      <c r="AN110" s="33"/>
      <c r="AO110" s="34"/>
      <c r="AP110" s="61">
        <v>2</v>
      </c>
      <c r="AQ110" s="61"/>
      <c r="AR110" s="61"/>
      <c r="AS110" s="61"/>
      <c r="AT110" s="61"/>
      <c r="AU110" s="61"/>
      <c r="AV110" s="54"/>
      <c r="AW110" s="54"/>
      <c r="AX110" s="54"/>
      <c r="AY110" s="54"/>
      <c r="AZ110" s="54"/>
      <c r="BA110" s="54"/>
      <c r="BB110" s="61">
        <v>2</v>
      </c>
      <c r="BC110" s="61"/>
      <c r="BD110" s="61"/>
      <c r="BE110" s="61"/>
      <c r="BF110" s="61"/>
      <c r="BG110" s="61"/>
      <c r="BH110" s="54"/>
      <c r="BI110" s="54"/>
      <c r="BJ110" s="54"/>
      <c r="BK110" s="54"/>
      <c r="BL110" s="54"/>
      <c r="BM110" s="54"/>
      <c r="BN110" s="53">
        <f t="shared" si="5"/>
        <v>-2</v>
      </c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5"/>
      <c r="CS110" s="55"/>
      <c r="CT110" s="55"/>
      <c r="CU110" s="55"/>
      <c r="CV110" s="55"/>
      <c r="CW110" s="55"/>
    </row>
    <row r="111" spans="3:101" ht="16.5" customHeight="1">
      <c r="C111" s="57" t="s">
        <v>316</v>
      </c>
      <c r="D111" s="57"/>
      <c r="E111" s="57"/>
      <c r="F111" s="52" t="s">
        <v>320</v>
      </c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6">
        <v>2020</v>
      </c>
      <c r="R111" s="56"/>
      <c r="S111" s="56"/>
      <c r="T111" s="56"/>
      <c r="U111" s="56"/>
      <c r="V111" s="56"/>
      <c r="W111" s="56"/>
      <c r="X111" s="72">
        <v>2020</v>
      </c>
      <c r="Y111" s="73"/>
      <c r="Z111" s="73"/>
      <c r="AA111" s="73"/>
      <c r="AB111" s="73"/>
      <c r="AC111" s="74"/>
      <c r="AD111" s="52"/>
      <c r="AE111" s="52"/>
      <c r="AF111" s="52"/>
      <c r="AG111" s="52"/>
      <c r="AH111" s="52"/>
      <c r="AI111" s="52"/>
      <c r="AJ111" s="136"/>
      <c r="AK111" s="136"/>
      <c r="AL111" s="136"/>
      <c r="AM111" s="136"/>
      <c r="AN111" s="136"/>
      <c r="AO111" s="136"/>
      <c r="AP111" s="61">
        <v>6.19</v>
      </c>
      <c r="AQ111" s="61"/>
      <c r="AR111" s="61"/>
      <c r="AS111" s="61"/>
      <c r="AT111" s="61"/>
      <c r="AU111" s="61"/>
      <c r="AV111" s="54"/>
      <c r="AW111" s="54"/>
      <c r="AX111" s="54"/>
      <c r="AY111" s="54"/>
      <c r="AZ111" s="54"/>
      <c r="BA111" s="54"/>
      <c r="BB111" s="61">
        <v>6.19</v>
      </c>
      <c r="BC111" s="61"/>
      <c r="BD111" s="61"/>
      <c r="BE111" s="61"/>
      <c r="BF111" s="61"/>
      <c r="BG111" s="61"/>
      <c r="BH111" s="137">
        <f>0.0009+0.0029+0.0018+0.00622503</f>
        <v>0.01182503</v>
      </c>
      <c r="BI111" s="137"/>
      <c r="BJ111" s="137"/>
      <c r="BK111" s="137"/>
      <c r="BL111" s="137"/>
      <c r="BM111" s="137"/>
      <c r="BN111" s="53">
        <f t="shared" si="5"/>
        <v>-6.178174970000001</v>
      </c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5"/>
      <c r="CS111" s="55"/>
      <c r="CT111" s="55"/>
      <c r="CU111" s="55"/>
      <c r="CV111" s="55"/>
      <c r="CW111" s="55"/>
    </row>
    <row r="112" spans="16:98" ht="15.75"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  <c r="CM112" s="118"/>
      <c r="CN112" s="118"/>
      <c r="CO112" s="118"/>
      <c r="CP112" s="118"/>
      <c r="CQ112" s="118"/>
      <c r="CR112" s="118"/>
      <c r="CS112" s="118"/>
      <c r="CT112" s="118"/>
    </row>
    <row r="113" ht="7.5" customHeight="1"/>
    <row r="114" spans="16:66" ht="15.75">
      <c r="P114" s="4"/>
      <c r="AX114" s="173"/>
      <c r="AY114" s="173"/>
      <c r="AZ114" s="173"/>
      <c r="BA114" s="173"/>
      <c r="BB114" s="173"/>
      <c r="BC114" s="173"/>
      <c r="BD114" s="173"/>
      <c r="BE114" s="173"/>
      <c r="BF114" s="173"/>
      <c r="BG114" s="173"/>
      <c r="BH114" s="173"/>
      <c r="BI114" s="173"/>
      <c r="BJ114" s="173"/>
      <c r="BK114" s="173"/>
      <c r="BL114" s="173"/>
      <c r="BM114" s="173"/>
      <c r="BN114" s="173"/>
    </row>
    <row r="116" spans="16:66" ht="15.75"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173"/>
      <c r="AY116" s="173"/>
      <c r="AZ116" s="173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73"/>
      <c r="BK116" s="173"/>
      <c r="BL116" s="173"/>
      <c r="BM116" s="173"/>
      <c r="BN116" s="173"/>
    </row>
    <row r="117" spans="16:66" ht="15.75"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</sheetData>
  <sheetProtection/>
  <mergeCells count="1678">
    <mergeCell ref="CR81:CW87"/>
    <mergeCell ref="CR78:CW78"/>
    <mergeCell ref="CR104:CW104"/>
    <mergeCell ref="CR100:CW100"/>
    <mergeCell ref="CR96:CW99"/>
    <mergeCell ref="CR90:CW90"/>
    <mergeCell ref="CR91:CW91"/>
    <mergeCell ref="CR92:CW92"/>
    <mergeCell ref="CR93:CW93"/>
    <mergeCell ref="CR79:CW79"/>
    <mergeCell ref="CR80:CW80"/>
    <mergeCell ref="CR101:CW103"/>
    <mergeCell ref="CR62:CW63"/>
    <mergeCell ref="CR52:CW52"/>
    <mergeCell ref="CR53:CW53"/>
    <mergeCell ref="CR66:CW66"/>
    <mergeCell ref="CR67:CW67"/>
    <mergeCell ref="CR54:CW54"/>
    <mergeCell ref="CR56:CW56"/>
    <mergeCell ref="CR59:CW60"/>
    <mergeCell ref="CR64:CW65"/>
    <mergeCell ref="CR46:CW46"/>
    <mergeCell ref="CR47:CW47"/>
    <mergeCell ref="CR48:CW48"/>
    <mergeCell ref="CR49:CW49"/>
    <mergeCell ref="CR50:CW51"/>
    <mergeCell ref="CR32:CW32"/>
    <mergeCell ref="CR43:CW43"/>
    <mergeCell ref="CR44:CW44"/>
    <mergeCell ref="CR38:CW42"/>
    <mergeCell ref="CR33:CW33"/>
    <mergeCell ref="CR34:CW34"/>
    <mergeCell ref="CR35:CW35"/>
    <mergeCell ref="CR36:CW36"/>
    <mergeCell ref="CR37:CW37"/>
    <mergeCell ref="BH97:BM97"/>
    <mergeCell ref="BH94:BM94"/>
    <mergeCell ref="CF49:CK49"/>
    <mergeCell ref="BN50:BS50"/>
    <mergeCell ref="BH90:BM90"/>
    <mergeCell ref="BZ76:CE76"/>
    <mergeCell ref="BZ77:CE77"/>
    <mergeCell ref="CF75:CK75"/>
    <mergeCell ref="BH98:BM98"/>
    <mergeCell ref="BH99:BM99"/>
    <mergeCell ref="CR27:CW27"/>
    <mergeCell ref="CR28:CW28"/>
    <mergeCell ref="CR29:CW29"/>
    <mergeCell ref="CR30:CW30"/>
    <mergeCell ref="CR31:CW31"/>
    <mergeCell ref="BZ49:CE49"/>
    <mergeCell ref="BN49:BS49"/>
    <mergeCell ref="BT49:BY49"/>
    <mergeCell ref="BN109:BS109"/>
    <mergeCell ref="BH91:BM91"/>
    <mergeCell ref="BH92:BM92"/>
    <mergeCell ref="BH93:BM93"/>
    <mergeCell ref="BN78:BS78"/>
    <mergeCell ref="BZ78:CE78"/>
    <mergeCell ref="BN80:BS80"/>
    <mergeCell ref="BT80:BY80"/>
    <mergeCell ref="BN79:BS79"/>
    <mergeCell ref="BZ79:CE79"/>
    <mergeCell ref="CF102:CK102"/>
    <mergeCell ref="AX116:BN116"/>
    <mergeCell ref="CR106:CW106"/>
    <mergeCell ref="AV106:BA106"/>
    <mergeCell ref="BB106:BG106"/>
    <mergeCell ref="BH107:BM107"/>
    <mergeCell ref="BN107:BS107"/>
    <mergeCell ref="BT106:BY106"/>
    <mergeCell ref="BZ106:CE106"/>
    <mergeCell ref="CR111:CW111"/>
    <mergeCell ref="AD106:AI106"/>
    <mergeCell ref="BN110:BS110"/>
    <mergeCell ref="CL107:CQ107"/>
    <mergeCell ref="AP106:AU106"/>
    <mergeCell ref="C54:E54"/>
    <mergeCell ref="CF106:CK106"/>
    <mergeCell ref="CL106:CQ106"/>
    <mergeCell ref="AJ106:AO106"/>
    <mergeCell ref="BB100:BG100"/>
    <mergeCell ref="CL102:CQ102"/>
    <mergeCell ref="F28:P28"/>
    <mergeCell ref="C49:E49"/>
    <mergeCell ref="F49:P49"/>
    <mergeCell ref="Q49:W49"/>
    <mergeCell ref="BB99:BG99"/>
    <mergeCell ref="AX114:BN114"/>
    <mergeCell ref="C106:E106"/>
    <mergeCell ref="F106:P106"/>
    <mergeCell ref="Q106:W106"/>
    <mergeCell ref="X106:AC106"/>
    <mergeCell ref="X29:AC29"/>
    <mergeCell ref="AD29:AI29"/>
    <mergeCell ref="C27:E27"/>
    <mergeCell ref="F27:P27"/>
    <mergeCell ref="AV28:BA28"/>
    <mergeCell ref="BB28:BG28"/>
    <mergeCell ref="C28:E28"/>
    <mergeCell ref="C29:E29"/>
    <mergeCell ref="F29:P29"/>
    <mergeCell ref="Q27:W27"/>
    <mergeCell ref="X27:AC27"/>
    <mergeCell ref="AD27:AI27"/>
    <mergeCell ref="AJ27:AO27"/>
    <mergeCell ref="BZ28:CE28"/>
    <mergeCell ref="BH27:BM27"/>
    <mergeCell ref="BN27:BS27"/>
    <mergeCell ref="BT27:BY27"/>
    <mergeCell ref="BZ27:CE27"/>
    <mergeCell ref="BT28:BY28"/>
    <mergeCell ref="BB27:BG27"/>
    <mergeCell ref="BB98:BG98"/>
    <mergeCell ref="AV54:BA54"/>
    <mergeCell ref="AV49:BA49"/>
    <mergeCell ref="AJ49:AO49"/>
    <mergeCell ref="AP49:AU49"/>
    <mergeCell ref="Q28:W28"/>
    <mergeCell ref="X28:AC28"/>
    <mergeCell ref="AD28:AI28"/>
    <mergeCell ref="AJ28:AO28"/>
    <mergeCell ref="BB49:BG49"/>
    <mergeCell ref="BB95:BG95"/>
    <mergeCell ref="BB96:BG96"/>
    <mergeCell ref="BB97:BG97"/>
    <mergeCell ref="BH49:BM49"/>
    <mergeCell ref="AJ95:AO95"/>
    <mergeCell ref="AP94:AU94"/>
    <mergeCell ref="AP95:AU95"/>
    <mergeCell ref="AV90:BA90"/>
    <mergeCell ref="BH95:BM95"/>
    <mergeCell ref="BH96:BM96"/>
    <mergeCell ref="AP28:AU28"/>
    <mergeCell ref="BH28:BM28"/>
    <mergeCell ref="BH82:BM82"/>
    <mergeCell ref="BH83:BM83"/>
    <mergeCell ref="BH84:BM84"/>
    <mergeCell ref="BH85:BM85"/>
    <mergeCell ref="BH46:BM46"/>
    <mergeCell ref="BH47:BM47"/>
    <mergeCell ref="BB75:BG75"/>
    <mergeCell ref="AV51:BA51"/>
    <mergeCell ref="CF28:CK28"/>
    <mergeCell ref="BB93:BG93"/>
    <mergeCell ref="BB94:BG94"/>
    <mergeCell ref="BH86:BM86"/>
    <mergeCell ref="BH87:BM87"/>
    <mergeCell ref="BH88:BM88"/>
    <mergeCell ref="BH89:BM89"/>
    <mergeCell ref="BB90:BG90"/>
    <mergeCell ref="BB91:BG91"/>
    <mergeCell ref="BB92:BG92"/>
    <mergeCell ref="Q39:W39"/>
    <mergeCell ref="CL28:CQ28"/>
    <mergeCell ref="BN28:BS28"/>
    <mergeCell ref="BB29:BG29"/>
    <mergeCell ref="AJ26:AO26"/>
    <mergeCell ref="AV27:BA27"/>
    <mergeCell ref="Q26:W26"/>
    <mergeCell ref="X26:AC26"/>
    <mergeCell ref="AD26:AI26"/>
    <mergeCell ref="CL26:CQ26"/>
    <mergeCell ref="CR19:CW19"/>
    <mergeCell ref="CL19:CQ19"/>
    <mergeCell ref="CR20:CW20"/>
    <mergeCell ref="BN26:BS26"/>
    <mergeCell ref="CF26:CK26"/>
    <mergeCell ref="CF27:CK27"/>
    <mergeCell ref="BN19:BS19"/>
    <mergeCell ref="BT25:BY25"/>
    <mergeCell ref="BZ25:CE25"/>
    <mergeCell ref="CL25:CQ25"/>
    <mergeCell ref="BH25:BM25"/>
    <mergeCell ref="AP26:AU26"/>
    <mergeCell ref="BB82:BG82"/>
    <mergeCell ref="BB83:BG83"/>
    <mergeCell ref="BB84:BG84"/>
    <mergeCell ref="AP29:AU29"/>
    <mergeCell ref="BB77:BG77"/>
    <mergeCell ref="AV75:BA75"/>
    <mergeCell ref="AP54:AU54"/>
    <mergeCell ref="AP27:AU27"/>
    <mergeCell ref="BZ104:CE104"/>
    <mergeCell ref="Q29:W29"/>
    <mergeCell ref="AJ29:AO29"/>
    <mergeCell ref="BZ102:CE102"/>
    <mergeCell ref="BN103:BS103"/>
    <mergeCell ref="BZ103:CE103"/>
    <mergeCell ref="BB101:BG101"/>
    <mergeCell ref="X30:AC30"/>
    <mergeCell ref="AD54:AI54"/>
    <mergeCell ref="Q38:W38"/>
    <mergeCell ref="C25:E25"/>
    <mergeCell ref="F25:P25"/>
    <mergeCell ref="Q25:W25"/>
    <mergeCell ref="AP25:AU25"/>
    <mergeCell ref="AV25:BA25"/>
    <mergeCell ref="BB26:BG26"/>
    <mergeCell ref="AV26:BA26"/>
    <mergeCell ref="BB25:BG25"/>
    <mergeCell ref="C26:E26"/>
    <mergeCell ref="F26:P26"/>
    <mergeCell ref="BH100:BM100"/>
    <mergeCell ref="BH101:BM101"/>
    <mergeCell ref="BB81:BG81"/>
    <mergeCell ref="BB88:BG88"/>
    <mergeCell ref="BB89:BG89"/>
    <mergeCell ref="AV98:BA98"/>
    <mergeCell ref="AV99:BA99"/>
    <mergeCell ref="AV100:BA100"/>
    <mergeCell ref="BB85:BG85"/>
    <mergeCell ref="BB86:BG86"/>
    <mergeCell ref="BN22:BS22"/>
    <mergeCell ref="BH78:BM78"/>
    <mergeCell ref="BH79:BM79"/>
    <mergeCell ref="BH80:BM80"/>
    <mergeCell ref="BH81:BM81"/>
    <mergeCell ref="AP23:AU23"/>
    <mergeCell ref="AV23:BA23"/>
    <mergeCell ref="BB23:BG23"/>
    <mergeCell ref="BB78:BG78"/>
    <mergeCell ref="BB79:BG79"/>
    <mergeCell ref="BT26:BY26"/>
    <mergeCell ref="BZ26:CE26"/>
    <mergeCell ref="BT29:BY29"/>
    <mergeCell ref="BN30:BS30"/>
    <mergeCell ref="AP99:AU99"/>
    <mergeCell ref="AV82:BA82"/>
    <mergeCell ref="AV83:BA83"/>
    <mergeCell ref="AV84:BA84"/>
    <mergeCell ref="AV85:BA85"/>
    <mergeCell ref="BB87:BG87"/>
    <mergeCell ref="AP98:AU98"/>
    <mergeCell ref="AV78:BA78"/>
    <mergeCell ref="AV79:BA79"/>
    <mergeCell ref="AV80:BA80"/>
    <mergeCell ref="AV81:BA81"/>
    <mergeCell ref="AP96:AU96"/>
    <mergeCell ref="AV91:BA91"/>
    <mergeCell ref="AV92:BA92"/>
    <mergeCell ref="AV93:BA93"/>
    <mergeCell ref="BH24:BM24"/>
    <mergeCell ref="BB22:BG22"/>
    <mergeCell ref="AV30:BA30"/>
    <mergeCell ref="BH22:BM22"/>
    <mergeCell ref="AV88:BA88"/>
    <mergeCell ref="BH29:BM29"/>
    <mergeCell ref="AV86:BA86"/>
    <mergeCell ref="AV87:BA87"/>
    <mergeCell ref="BH26:BM26"/>
    <mergeCell ref="BB80:BG80"/>
    <mergeCell ref="BH19:BM19"/>
    <mergeCell ref="AV29:BA29"/>
    <mergeCell ref="CR55:CW55"/>
    <mergeCell ref="CF29:CK29"/>
    <mergeCell ref="AJ101:AO101"/>
    <mergeCell ref="AP86:AU86"/>
    <mergeCell ref="AP87:AU87"/>
    <mergeCell ref="AP88:AU88"/>
    <mergeCell ref="AP89:AU89"/>
    <mergeCell ref="AJ19:AO19"/>
    <mergeCell ref="BN29:BS29"/>
    <mergeCell ref="C24:E24"/>
    <mergeCell ref="BH20:BM20"/>
    <mergeCell ref="BN20:BS20"/>
    <mergeCell ref="Q19:W19"/>
    <mergeCell ref="AD24:AI24"/>
    <mergeCell ref="C19:E19"/>
    <mergeCell ref="BB20:BG20"/>
    <mergeCell ref="C22:E22"/>
    <mergeCell ref="F22:P22"/>
    <mergeCell ref="CL20:CQ20"/>
    <mergeCell ref="AJ24:AO24"/>
    <mergeCell ref="AP24:AU24"/>
    <mergeCell ref="BN24:BS24"/>
    <mergeCell ref="AJ23:AO23"/>
    <mergeCell ref="AD8:AI8"/>
    <mergeCell ref="AD9:AI9"/>
    <mergeCell ref="AP10:AU10"/>
    <mergeCell ref="AJ9:AO9"/>
    <mergeCell ref="AJ14:AO14"/>
    <mergeCell ref="AV7:BA7"/>
    <mergeCell ref="F19:P19"/>
    <mergeCell ref="CL29:CQ29"/>
    <mergeCell ref="AJ25:AO25"/>
    <mergeCell ref="BZ29:CE29"/>
    <mergeCell ref="CL27:CQ27"/>
    <mergeCell ref="BN25:BS25"/>
    <mergeCell ref="AD19:AI19"/>
    <mergeCell ref="AD10:AI10"/>
    <mergeCell ref="AD7:AI7"/>
    <mergeCell ref="C9:E9"/>
    <mergeCell ref="C10:E10"/>
    <mergeCell ref="C11:E11"/>
    <mergeCell ref="AD15:AI15"/>
    <mergeCell ref="AD17:AI17"/>
    <mergeCell ref="AD18:AI18"/>
    <mergeCell ref="AD12:AI12"/>
    <mergeCell ref="AD13:AI13"/>
    <mergeCell ref="AD14:AI14"/>
    <mergeCell ref="AD11:AI11"/>
    <mergeCell ref="C4:E4"/>
    <mergeCell ref="C5:E5"/>
    <mergeCell ref="C6:E6"/>
    <mergeCell ref="C7:E7"/>
    <mergeCell ref="BZ6:CQ6"/>
    <mergeCell ref="BT8:BY8"/>
    <mergeCell ref="AJ7:AO7"/>
    <mergeCell ref="AJ8:AO8"/>
    <mergeCell ref="BN6:BS6"/>
    <mergeCell ref="BB7:BM7"/>
    <mergeCell ref="C17:E17"/>
    <mergeCell ref="C18:E18"/>
    <mergeCell ref="X15:AC15"/>
    <mergeCell ref="X17:AC17"/>
    <mergeCell ref="BN7:BS7"/>
    <mergeCell ref="C12:E12"/>
    <mergeCell ref="C13:E13"/>
    <mergeCell ref="C14:E14"/>
    <mergeCell ref="C15:E15"/>
    <mergeCell ref="BB8:BM8"/>
    <mergeCell ref="C8:E8"/>
    <mergeCell ref="AP14:AU14"/>
    <mergeCell ref="AP19:AU19"/>
    <mergeCell ref="AP22:AU22"/>
    <mergeCell ref="AJ17:AO17"/>
    <mergeCell ref="AJ18:AO18"/>
    <mergeCell ref="AJ10:AO10"/>
    <mergeCell ref="AJ11:AO11"/>
    <mergeCell ref="AJ12:AO12"/>
    <mergeCell ref="AJ13:AO13"/>
    <mergeCell ref="AV8:BA8"/>
    <mergeCell ref="AV9:BA9"/>
    <mergeCell ref="AP7:AU7"/>
    <mergeCell ref="AP8:AU8"/>
    <mergeCell ref="AV12:BA12"/>
    <mergeCell ref="AV13:BA13"/>
    <mergeCell ref="AP11:AU11"/>
    <mergeCell ref="AP12:AU12"/>
    <mergeCell ref="AP13:AU13"/>
    <mergeCell ref="AP9:AU9"/>
    <mergeCell ref="AP15:AU15"/>
    <mergeCell ref="BB10:BG10"/>
    <mergeCell ref="AV17:BA17"/>
    <mergeCell ref="AV18:BA18"/>
    <mergeCell ref="BB13:BG13"/>
    <mergeCell ref="BB14:BG14"/>
    <mergeCell ref="BB18:BG18"/>
    <mergeCell ref="BB15:BG15"/>
    <mergeCell ref="AP17:AU17"/>
    <mergeCell ref="AP18:AU18"/>
    <mergeCell ref="BB17:BG17"/>
    <mergeCell ref="AV10:BA10"/>
    <mergeCell ref="AV11:BA11"/>
    <mergeCell ref="BB24:BG24"/>
    <mergeCell ref="AV24:BA24"/>
    <mergeCell ref="BB19:BG19"/>
    <mergeCell ref="AV22:BA22"/>
    <mergeCell ref="AV14:BA14"/>
    <mergeCell ref="AV15:BA15"/>
    <mergeCell ref="AV19:BA19"/>
    <mergeCell ref="BN13:BS13"/>
    <mergeCell ref="BH10:BM10"/>
    <mergeCell ref="BH11:BM11"/>
    <mergeCell ref="BB11:BG11"/>
    <mergeCell ref="BB12:BG12"/>
    <mergeCell ref="BH13:BM13"/>
    <mergeCell ref="BB9:BG9"/>
    <mergeCell ref="BN8:BS8"/>
    <mergeCell ref="BN9:BS9"/>
    <mergeCell ref="BN10:BS10"/>
    <mergeCell ref="BH17:BM17"/>
    <mergeCell ref="BH12:BM12"/>
    <mergeCell ref="BH9:BM9"/>
    <mergeCell ref="BN11:BS11"/>
    <mergeCell ref="BN14:BS14"/>
    <mergeCell ref="BN12:BS12"/>
    <mergeCell ref="BH18:BM18"/>
    <mergeCell ref="BN15:BS15"/>
    <mergeCell ref="BN17:BS17"/>
    <mergeCell ref="BN18:BS18"/>
    <mergeCell ref="BH15:BM15"/>
    <mergeCell ref="BH14:BM14"/>
    <mergeCell ref="CL49:CQ49"/>
    <mergeCell ref="BT53:BY53"/>
    <mergeCell ref="BT11:BY11"/>
    <mergeCell ref="BT24:BY24"/>
    <mergeCell ref="BT12:BY12"/>
    <mergeCell ref="BT13:BY13"/>
    <mergeCell ref="BT14:BY14"/>
    <mergeCell ref="BT15:BY15"/>
    <mergeCell ref="BT19:BY19"/>
    <mergeCell ref="BT30:BY30"/>
    <mergeCell ref="BZ7:CE7"/>
    <mergeCell ref="BZ8:CE8"/>
    <mergeCell ref="BZ9:CE9"/>
    <mergeCell ref="BZ10:CE10"/>
    <mergeCell ref="BT17:BY17"/>
    <mergeCell ref="BT18:BY18"/>
    <mergeCell ref="BZ11:CE11"/>
    <mergeCell ref="BZ14:CE14"/>
    <mergeCell ref="BZ16:CE16"/>
    <mergeCell ref="BZ24:CE24"/>
    <mergeCell ref="BZ19:CE19"/>
    <mergeCell ref="AJ100:AO100"/>
    <mergeCell ref="AP82:AU82"/>
    <mergeCell ref="AP83:AU83"/>
    <mergeCell ref="AP84:AU84"/>
    <mergeCell ref="AP85:AU85"/>
    <mergeCell ref="BT20:BY20"/>
    <mergeCell ref="BB55:BG55"/>
    <mergeCell ref="BN55:BS55"/>
    <mergeCell ref="BZ23:CE23"/>
    <mergeCell ref="BZ21:CE21"/>
    <mergeCell ref="CF11:CK11"/>
    <mergeCell ref="CF13:CK13"/>
    <mergeCell ref="BZ12:CE12"/>
    <mergeCell ref="BZ13:CE13"/>
    <mergeCell ref="BZ15:CE15"/>
    <mergeCell ref="BZ17:CE17"/>
    <mergeCell ref="BZ18:CE18"/>
    <mergeCell ref="CF20:CK20"/>
    <mergeCell ref="CF23:CK23"/>
    <mergeCell ref="CF21:CK21"/>
    <mergeCell ref="BT4:CQ4"/>
    <mergeCell ref="BT5:CQ5"/>
    <mergeCell ref="BT6:BY6"/>
    <mergeCell ref="BT7:BY7"/>
    <mergeCell ref="CF12:CK12"/>
    <mergeCell ref="CF19:CK19"/>
    <mergeCell ref="BZ20:CE20"/>
    <mergeCell ref="CL7:CQ7"/>
    <mergeCell ref="CF17:CK17"/>
    <mergeCell ref="CF18:CK18"/>
    <mergeCell ref="CF14:CK14"/>
    <mergeCell ref="CF15:CK15"/>
    <mergeCell ref="CL14:CQ14"/>
    <mergeCell ref="CF7:CK7"/>
    <mergeCell ref="CF8:CK8"/>
    <mergeCell ref="CF9:CK9"/>
    <mergeCell ref="CF10:CK10"/>
    <mergeCell ref="CL17:CQ17"/>
    <mergeCell ref="C30:E30"/>
    <mergeCell ref="F30:P30"/>
    <mergeCell ref="Q30:W30"/>
    <mergeCell ref="X18:AC18"/>
    <mergeCell ref="X24:AC24"/>
    <mergeCell ref="BT9:BY9"/>
    <mergeCell ref="BT10:BY10"/>
    <mergeCell ref="X19:AC19"/>
    <mergeCell ref="X11:AC11"/>
    <mergeCell ref="X12:AC12"/>
    <mergeCell ref="CF24:CK24"/>
    <mergeCell ref="CL24:CQ24"/>
    <mergeCell ref="AD30:AI30"/>
    <mergeCell ref="AJ30:AO30"/>
    <mergeCell ref="AP30:AU30"/>
    <mergeCell ref="BB30:BG30"/>
    <mergeCell ref="BH30:BM30"/>
    <mergeCell ref="CL30:CQ30"/>
    <mergeCell ref="BZ30:CE30"/>
    <mergeCell ref="CF30:CK30"/>
    <mergeCell ref="CF25:CK25"/>
    <mergeCell ref="CR4:CW4"/>
    <mergeCell ref="CR5:CW5"/>
    <mergeCell ref="CR6:CW6"/>
    <mergeCell ref="CR7:CW7"/>
    <mergeCell ref="CR8:CW8"/>
    <mergeCell ref="CR9:CW9"/>
    <mergeCell ref="CR10:CW10"/>
    <mergeCell ref="CR15:CW15"/>
    <mergeCell ref="CL15:CQ15"/>
    <mergeCell ref="CL18:CQ18"/>
    <mergeCell ref="AJ99:AO99"/>
    <mergeCell ref="AP78:AU78"/>
    <mergeCell ref="AP79:AU79"/>
    <mergeCell ref="AP80:AU80"/>
    <mergeCell ref="AP81:AU81"/>
    <mergeCell ref="CL75:CQ75"/>
    <mergeCell ref="CL76:CQ76"/>
    <mergeCell ref="CL77:CQ77"/>
    <mergeCell ref="BZ75:CE75"/>
    <mergeCell ref="X7:AC7"/>
    <mergeCell ref="X8:AC8"/>
    <mergeCell ref="X9:AC9"/>
    <mergeCell ref="X10:AC10"/>
    <mergeCell ref="CR17:CW17"/>
    <mergeCell ref="CR18:CW18"/>
    <mergeCell ref="CR11:CW11"/>
    <mergeCell ref="CR12:CW12"/>
    <mergeCell ref="CR13:CW13"/>
    <mergeCell ref="CR14:CW14"/>
    <mergeCell ref="X13:AC13"/>
    <mergeCell ref="X14:AC14"/>
    <mergeCell ref="AJ98:AO98"/>
    <mergeCell ref="AJ15:AO15"/>
    <mergeCell ref="X25:AC25"/>
    <mergeCell ref="AD25:AI25"/>
    <mergeCell ref="AD50:AI50"/>
    <mergeCell ref="X54:AC54"/>
    <mergeCell ref="AJ76:AO76"/>
    <mergeCell ref="AD75:AI75"/>
    <mergeCell ref="Q4:W4"/>
    <mergeCell ref="Q5:W5"/>
    <mergeCell ref="Q6:W6"/>
    <mergeCell ref="Q7:W7"/>
    <mergeCell ref="Q8:W8"/>
    <mergeCell ref="Q9:W9"/>
    <mergeCell ref="F10:P10"/>
    <mergeCell ref="F15:P15"/>
    <mergeCell ref="Q17:W17"/>
    <mergeCell ref="Q18:W18"/>
    <mergeCell ref="Q14:W14"/>
    <mergeCell ref="Q15:W15"/>
    <mergeCell ref="Q10:W10"/>
    <mergeCell ref="Q11:W11"/>
    <mergeCell ref="Q12:W12"/>
    <mergeCell ref="F4:P4"/>
    <mergeCell ref="F5:P5"/>
    <mergeCell ref="F6:P6"/>
    <mergeCell ref="F7:P7"/>
    <mergeCell ref="F8:P8"/>
    <mergeCell ref="F9:P9"/>
    <mergeCell ref="BB6:BM6"/>
    <mergeCell ref="Q24:W24"/>
    <mergeCell ref="F11:P11"/>
    <mergeCell ref="F12:P12"/>
    <mergeCell ref="F13:P13"/>
    <mergeCell ref="F14:P14"/>
    <mergeCell ref="Q13:W13"/>
    <mergeCell ref="F24:P24"/>
    <mergeCell ref="F17:P17"/>
    <mergeCell ref="F18:P18"/>
    <mergeCell ref="X4:AI4"/>
    <mergeCell ref="X5:AI5"/>
    <mergeCell ref="X6:AI6"/>
    <mergeCell ref="AP4:BS4"/>
    <mergeCell ref="AP5:BS5"/>
    <mergeCell ref="AV6:BA6"/>
    <mergeCell ref="AJ4:AO4"/>
    <mergeCell ref="AJ5:AO5"/>
    <mergeCell ref="AJ6:AO6"/>
    <mergeCell ref="AP6:AU6"/>
    <mergeCell ref="C50:E50"/>
    <mergeCell ref="C51:E51"/>
    <mergeCell ref="C52:E52"/>
    <mergeCell ref="C53:E53"/>
    <mergeCell ref="BT55:BY55"/>
    <mergeCell ref="BZ55:CE55"/>
    <mergeCell ref="F51:P51"/>
    <mergeCell ref="F52:P52"/>
    <mergeCell ref="F53:P53"/>
    <mergeCell ref="F54:P54"/>
    <mergeCell ref="BN102:BS102"/>
    <mergeCell ref="C56:E56"/>
    <mergeCell ref="AP90:AU90"/>
    <mergeCell ref="AP91:AU91"/>
    <mergeCell ref="AP92:AU92"/>
    <mergeCell ref="AP93:AU93"/>
    <mergeCell ref="BH75:BM75"/>
    <mergeCell ref="BH76:BM76"/>
    <mergeCell ref="BH77:BM77"/>
    <mergeCell ref="BN75:BS75"/>
    <mergeCell ref="CF76:CK76"/>
    <mergeCell ref="CF77:CK77"/>
    <mergeCell ref="BT76:BY76"/>
    <mergeCell ref="BT77:BY77"/>
    <mergeCell ref="BT75:BY75"/>
    <mergeCell ref="AV95:BA95"/>
    <mergeCell ref="BN76:BS76"/>
    <mergeCell ref="BN77:BS77"/>
    <mergeCell ref="BN84:BS84"/>
    <mergeCell ref="BN86:BS86"/>
    <mergeCell ref="BB76:BG76"/>
    <mergeCell ref="BN90:BS90"/>
    <mergeCell ref="BN92:BS92"/>
    <mergeCell ref="AD97:AI97"/>
    <mergeCell ref="AD98:AI98"/>
    <mergeCell ref="AP77:AU77"/>
    <mergeCell ref="AJ77:AO77"/>
    <mergeCell ref="AD96:AI96"/>
    <mergeCell ref="AD95:AI95"/>
    <mergeCell ref="AP97:AU97"/>
    <mergeCell ref="AJ75:AO75"/>
    <mergeCell ref="AV76:BA76"/>
    <mergeCell ref="AD94:AI94"/>
    <mergeCell ref="AD92:AI92"/>
    <mergeCell ref="AJ94:AO94"/>
    <mergeCell ref="AD93:AI93"/>
    <mergeCell ref="AJ90:AO90"/>
    <mergeCell ref="AJ91:AO91"/>
    <mergeCell ref="AJ92:AO92"/>
    <mergeCell ref="AJ93:AO93"/>
    <mergeCell ref="AD99:AI99"/>
    <mergeCell ref="AD100:AI100"/>
    <mergeCell ref="AD101:AI101"/>
    <mergeCell ref="BH109:BM109"/>
    <mergeCell ref="AJ97:AO97"/>
    <mergeCell ref="AP100:AU100"/>
    <mergeCell ref="AP101:AU101"/>
    <mergeCell ref="AP103:AU103"/>
    <mergeCell ref="AJ108:AO108"/>
    <mergeCell ref="AP108:AU108"/>
    <mergeCell ref="AD77:AI77"/>
    <mergeCell ref="AD66:AI66"/>
    <mergeCell ref="AD51:AI51"/>
    <mergeCell ref="AD52:AI52"/>
    <mergeCell ref="AD53:AI53"/>
    <mergeCell ref="X50:AC50"/>
    <mergeCell ref="X51:AC51"/>
    <mergeCell ref="X52:AC52"/>
    <mergeCell ref="X53:AC53"/>
    <mergeCell ref="CF55:CK55"/>
    <mergeCell ref="AV63:BA63"/>
    <mergeCell ref="X56:AC56"/>
    <mergeCell ref="Q77:W77"/>
    <mergeCell ref="F76:P76"/>
    <mergeCell ref="AD74:AI74"/>
    <mergeCell ref="X60:AC60"/>
    <mergeCell ref="X61:AC61"/>
    <mergeCell ref="X62:AC62"/>
    <mergeCell ref="AD76:AI76"/>
    <mergeCell ref="AJ50:AO50"/>
    <mergeCell ref="AJ51:AO51"/>
    <mergeCell ref="AJ52:AO52"/>
    <mergeCell ref="AJ53:AO53"/>
    <mergeCell ref="AJ54:AO54"/>
    <mergeCell ref="AJ60:AO60"/>
    <mergeCell ref="AV52:BA52"/>
    <mergeCell ref="AV53:BA53"/>
    <mergeCell ref="AV55:BA55"/>
    <mergeCell ref="CL72:CQ72"/>
    <mergeCell ref="CR68:CW74"/>
    <mergeCell ref="CL74:CQ74"/>
    <mergeCell ref="AV66:BA66"/>
    <mergeCell ref="AV67:BA67"/>
    <mergeCell ref="BB71:BG71"/>
    <mergeCell ref="CF70:CK70"/>
    <mergeCell ref="BZ60:CE60"/>
    <mergeCell ref="BT51:BY51"/>
    <mergeCell ref="BT52:BY52"/>
    <mergeCell ref="BN51:BS51"/>
    <mergeCell ref="BN52:BS52"/>
    <mergeCell ref="BH53:BM53"/>
    <mergeCell ref="CL64:CQ64"/>
    <mergeCell ref="CL65:CQ65"/>
    <mergeCell ref="CL56:CQ56"/>
    <mergeCell ref="CL69:CQ69"/>
    <mergeCell ref="CL70:CQ70"/>
    <mergeCell ref="CF68:CK68"/>
    <mergeCell ref="CL68:CQ68"/>
    <mergeCell ref="CL66:CQ66"/>
    <mergeCell ref="CL67:CQ67"/>
    <mergeCell ref="AD73:AI73"/>
    <mergeCell ref="AD67:AI67"/>
    <mergeCell ref="AD60:AI60"/>
    <mergeCell ref="BZ59:CE59"/>
    <mergeCell ref="AJ82:AO82"/>
    <mergeCell ref="CF66:CK66"/>
    <mergeCell ref="BH68:BM68"/>
    <mergeCell ref="BN70:BS70"/>
    <mergeCell ref="AD61:AI61"/>
    <mergeCell ref="CF69:CK69"/>
    <mergeCell ref="AJ96:AO96"/>
    <mergeCell ref="BT57:BY57"/>
    <mergeCell ref="BT58:BY58"/>
    <mergeCell ref="AJ56:AO56"/>
    <mergeCell ref="BH58:BM58"/>
    <mergeCell ref="BN73:BS73"/>
    <mergeCell ref="AP62:AU62"/>
    <mergeCell ref="AP63:AU63"/>
    <mergeCell ref="AP72:AU72"/>
    <mergeCell ref="AV56:BA56"/>
    <mergeCell ref="CL73:CQ73"/>
    <mergeCell ref="CL71:CQ71"/>
    <mergeCell ref="CF73:CK73"/>
    <mergeCell ref="BZ65:CE65"/>
    <mergeCell ref="BZ64:CE64"/>
    <mergeCell ref="AJ89:AO89"/>
    <mergeCell ref="AV72:BA72"/>
    <mergeCell ref="AJ88:AO88"/>
    <mergeCell ref="AJ68:AO68"/>
    <mergeCell ref="BZ69:CE69"/>
    <mergeCell ref="BZ58:CE58"/>
    <mergeCell ref="AJ78:AO78"/>
    <mergeCell ref="AJ79:AO79"/>
    <mergeCell ref="CF67:CK67"/>
    <mergeCell ref="AJ81:AO81"/>
    <mergeCell ref="CF74:CK74"/>
    <mergeCell ref="CF71:CK71"/>
    <mergeCell ref="CF72:CK72"/>
    <mergeCell ref="AJ74:AO74"/>
    <mergeCell ref="AJ70:AO70"/>
    <mergeCell ref="AJ80:AO80"/>
    <mergeCell ref="BB65:BG65"/>
    <mergeCell ref="AP56:AU56"/>
    <mergeCell ref="BH56:BM56"/>
    <mergeCell ref="BN64:BS64"/>
    <mergeCell ref="BB74:BG74"/>
    <mergeCell ref="BH66:BM66"/>
    <mergeCell ref="BN59:BS59"/>
    <mergeCell ref="BN60:BS60"/>
    <mergeCell ref="BB70:BG70"/>
    <mergeCell ref="BH50:BM50"/>
    <mergeCell ref="BH51:BM51"/>
    <mergeCell ref="BH52:BM52"/>
    <mergeCell ref="BH54:BM54"/>
    <mergeCell ref="BN53:BS53"/>
    <mergeCell ref="BB68:BG68"/>
    <mergeCell ref="BB63:BG63"/>
    <mergeCell ref="BN66:BS66"/>
    <mergeCell ref="BN68:BS68"/>
    <mergeCell ref="BB54:BG54"/>
    <mergeCell ref="BB53:BG53"/>
    <mergeCell ref="BN57:BS57"/>
    <mergeCell ref="BH55:BM55"/>
    <mergeCell ref="BN69:BS69"/>
    <mergeCell ref="BN72:BS72"/>
    <mergeCell ref="BN71:BS71"/>
    <mergeCell ref="BB72:BG72"/>
    <mergeCell ref="BB69:BG69"/>
    <mergeCell ref="BN74:BS74"/>
    <mergeCell ref="BH71:BM71"/>
    <mergeCell ref="BH74:BM74"/>
    <mergeCell ref="BH73:BM73"/>
    <mergeCell ref="BB61:BG61"/>
    <mergeCell ref="BB58:BG58"/>
    <mergeCell ref="BN61:BS61"/>
    <mergeCell ref="BH61:BM61"/>
    <mergeCell ref="BH59:BM59"/>
    <mergeCell ref="BH60:BM60"/>
    <mergeCell ref="AJ84:AO84"/>
    <mergeCell ref="AJ85:AO85"/>
    <mergeCell ref="BB59:BG59"/>
    <mergeCell ref="BB60:BG60"/>
    <mergeCell ref="AV68:BA68"/>
    <mergeCell ref="AP69:AU69"/>
    <mergeCell ref="AP73:AU73"/>
    <mergeCell ref="BB67:BG67"/>
    <mergeCell ref="AP59:AU59"/>
    <mergeCell ref="BB73:BG73"/>
    <mergeCell ref="BH63:BM63"/>
    <mergeCell ref="BN65:BS65"/>
    <mergeCell ref="BH67:BM67"/>
    <mergeCell ref="BB66:BG66"/>
    <mergeCell ref="AV65:BA65"/>
    <mergeCell ref="CF52:CK52"/>
    <mergeCell ref="CF53:CK53"/>
    <mergeCell ref="BZ54:CE54"/>
    <mergeCell ref="AV61:BA61"/>
    <mergeCell ref="AV62:BA62"/>
    <mergeCell ref="BZ50:CE50"/>
    <mergeCell ref="BZ51:CE51"/>
    <mergeCell ref="BZ52:CE52"/>
    <mergeCell ref="BZ53:CE53"/>
    <mergeCell ref="BN54:BS54"/>
    <mergeCell ref="BB57:BG57"/>
    <mergeCell ref="BN56:BS56"/>
    <mergeCell ref="BB50:BG50"/>
    <mergeCell ref="BB51:BG51"/>
    <mergeCell ref="BB52:BG52"/>
    <mergeCell ref="CL50:CQ50"/>
    <mergeCell ref="CL51:CQ51"/>
    <mergeCell ref="CL52:CQ52"/>
    <mergeCell ref="CL53:CQ53"/>
    <mergeCell ref="CL55:CQ55"/>
    <mergeCell ref="BH65:BM65"/>
    <mergeCell ref="BH64:BM64"/>
    <mergeCell ref="BT50:BY50"/>
    <mergeCell ref="CF50:CK50"/>
    <mergeCell ref="CF51:CK51"/>
    <mergeCell ref="CL54:CQ54"/>
    <mergeCell ref="CF56:CK56"/>
    <mergeCell ref="BB56:BG56"/>
    <mergeCell ref="BN58:BS58"/>
    <mergeCell ref="CF54:CK54"/>
    <mergeCell ref="AP57:AU57"/>
    <mergeCell ref="BZ56:CE56"/>
    <mergeCell ref="BT56:BY56"/>
    <mergeCell ref="BT54:BY54"/>
    <mergeCell ref="BH57:BM57"/>
    <mergeCell ref="C61:E61"/>
    <mergeCell ref="C62:E62"/>
    <mergeCell ref="C63:E63"/>
    <mergeCell ref="C57:E57"/>
    <mergeCell ref="C58:E58"/>
    <mergeCell ref="C59:E59"/>
    <mergeCell ref="AJ57:AO57"/>
    <mergeCell ref="AJ58:AO58"/>
    <mergeCell ref="AJ59:AO59"/>
    <mergeCell ref="C105:E105"/>
    <mergeCell ref="F57:P57"/>
    <mergeCell ref="F58:P58"/>
    <mergeCell ref="F59:P59"/>
    <mergeCell ref="F60:P60"/>
    <mergeCell ref="C75:E75"/>
    <mergeCell ref="C76:E76"/>
    <mergeCell ref="C71:E71"/>
    <mergeCell ref="C72:E72"/>
    <mergeCell ref="C60:E60"/>
    <mergeCell ref="F105:P105"/>
    <mergeCell ref="Q57:W57"/>
    <mergeCell ref="Q58:W58"/>
    <mergeCell ref="Q59:W59"/>
    <mergeCell ref="F71:P71"/>
    <mergeCell ref="F75:P75"/>
    <mergeCell ref="F72:P72"/>
    <mergeCell ref="F73:P73"/>
    <mergeCell ref="F61:P61"/>
    <mergeCell ref="F77:P77"/>
    <mergeCell ref="Q105:W105"/>
    <mergeCell ref="Q62:W62"/>
    <mergeCell ref="Q63:W63"/>
    <mergeCell ref="F62:P62"/>
    <mergeCell ref="F63:P63"/>
    <mergeCell ref="F69:P69"/>
    <mergeCell ref="Q96:W96"/>
    <mergeCell ref="Q60:W60"/>
    <mergeCell ref="Q72:W72"/>
    <mergeCell ref="Q73:W73"/>
    <mergeCell ref="Q61:W61"/>
    <mergeCell ref="Q74:W74"/>
    <mergeCell ref="Q70:W70"/>
    <mergeCell ref="Q71:W71"/>
    <mergeCell ref="Q68:W68"/>
    <mergeCell ref="Q69:W69"/>
    <mergeCell ref="X105:AC105"/>
    <mergeCell ref="X63:AC63"/>
    <mergeCell ref="X66:AC66"/>
    <mergeCell ref="X67:AC67"/>
    <mergeCell ref="X77:AC77"/>
    <mergeCell ref="X72:AC72"/>
    <mergeCell ref="X73:AC73"/>
    <mergeCell ref="X96:AC96"/>
    <mergeCell ref="X97:AC97"/>
    <mergeCell ref="X94:AC94"/>
    <mergeCell ref="AJ105:AO105"/>
    <mergeCell ref="AD105:AI105"/>
    <mergeCell ref="AD68:AI68"/>
    <mergeCell ref="AD69:AI69"/>
    <mergeCell ref="AD102:AI102"/>
    <mergeCell ref="AJ102:AO102"/>
    <mergeCell ref="AJ72:AO72"/>
    <mergeCell ref="AJ73:AO73"/>
    <mergeCell ref="AJ86:AO86"/>
    <mergeCell ref="AJ87:AO87"/>
    <mergeCell ref="X75:AC75"/>
    <mergeCell ref="AJ67:AO67"/>
    <mergeCell ref="X68:AC68"/>
    <mergeCell ref="X69:AC69"/>
    <mergeCell ref="X70:AC70"/>
    <mergeCell ref="AD71:AI71"/>
    <mergeCell ref="AD72:AI72"/>
    <mergeCell ref="AD70:AI70"/>
    <mergeCell ref="AJ71:AO71"/>
    <mergeCell ref="X74:AC74"/>
    <mergeCell ref="X71:AC71"/>
    <mergeCell ref="AP66:AU66"/>
    <mergeCell ref="AP67:AU67"/>
    <mergeCell ref="AP68:AU68"/>
    <mergeCell ref="AJ69:AO69"/>
    <mergeCell ref="AP65:AU65"/>
    <mergeCell ref="AD65:AI65"/>
    <mergeCell ref="AJ66:AO66"/>
    <mergeCell ref="AP60:AU60"/>
    <mergeCell ref="AP64:AU64"/>
    <mergeCell ref="AP58:AU58"/>
    <mergeCell ref="AD57:AI57"/>
    <mergeCell ref="AP75:AU75"/>
    <mergeCell ref="AV57:BA57"/>
    <mergeCell ref="AV58:BA58"/>
    <mergeCell ref="AV59:BA59"/>
    <mergeCell ref="AV60:BA60"/>
    <mergeCell ref="AD64:AI64"/>
    <mergeCell ref="AV97:BA97"/>
    <mergeCell ref="AV101:BA101"/>
    <mergeCell ref="AP76:AU76"/>
    <mergeCell ref="AP61:AU61"/>
    <mergeCell ref="AJ64:AO64"/>
    <mergeCell ref="AJ65:AO65"/>
    <mergeCell ref="AP70:AU70"/>
    <mergeCell ref="AP71:AU71"/>
    <mergeCell ref="AP74:AU74"/>
    <mergeCell ref="AJ83:AO83"/>
    <mergeCell ref="AV73:BA73"/>
    <mergeCell ref="AV74:BA74"/>
    <mergeCell ref="AV77:BA77"/>
    <mergeCell ref="AV70:BA70"/>
    <mergeCell ref="AV89:BA89"/>
    <mergeCell ref="AV96:BA96"/>
    <mergeCell ref="AV94:BA94"/>
    <mergeCell ref="BH105:BM105"/>
    <mergeCell ref="BH102:BM102"/>
    <mergeCell ref="BB62:BG62"/>
    <mergeCell ref="BB103:BG103"/>
    <mergeCell ref="BH103:BM103"/>
    <mergeCell ref="AV69:BA69"/>
    <mergeCell ref="BB64:BG64"/>
    <mergeCell ref="AV64:BA64"/>
    <mergeCell ref="AV105:BA105"/>
    <mergeCell ref="AV71:BA71"/>
    <mergeCell ref="BT102:BY102"/>
    <mergeCell ref="BT79:BY79"/>
    <mergeCell ref="BT73:BY73"/>
    <mergeCell ref="BN62:BS62"/>
    <mergeCell ref="BH62:BM62"/>
    <mergeCell ref="BH69:BM69"/>
    <mergeCell ref="BH70:BM70"/>
    <mergeCell ref="BH72:BM72"/>
    <mergeCell ref="BT65:BY65"/>
    <mergeCell ref="BT84:BY84"/>
    <mergeCell ref="BZ62:CE62"/>
    <mergeCell ref="BZ63:CE63"/>
    <mergeCell ref="BZ71:CE71"/>
    <mergeCell ref="BT62:BY62"/>
    <mergeCell ref="BN63:BS63"/>
    <mergeCell ref="BN67:BS67"/>
    <mergeCell ref="BT64:BY64"/>
    <mergeCell ref="BZ70:CE70"/>
    <mergeCell ref="BT69:BY69"/>
    <mergeCell ref="BT66:BY66"/>
    <mergeCell ref="BT105:BY105"/>
    <mergeCell ref="BT63:BY63"/>
    <mergeCell ref="BT70:BY70"/>
    <mergeCell ref="BT67:BY67"/>
    <mergeCell ref="BT68:BY68"/>
    <mergeCell ref="BT103:BY103"/>
    <mergeCell ref="BT74:BY74"/>
    <mergeCell ref="BT71:BY71"/>
    <mergeCell ref="BT72:BY72"/>
    <mergeCell ref="BT82:BY82"/>
    <mergeCell ref="BZ61:CE61"/>
    <mergeCell ref="BT60:BY60"/>
    <mergeCell ref="BT61:BY61"/>
    <mergeCell ref="BT59:BY59"/>
    <mergeCell ref="BZ73:CE73"/>
    <mergeCell ref="BZ74:CE74"/>
    <mergeCell ref="BZ66:CE66"/>
    <mergeCell ref="BZ67:CE67"/>
    <mergeCell ref="BZ68:CE68"/>
    <mergeCell ref="BZ72:CE72"/>
    <mergeCell ref="CF63:CK63"/>
    <mergeCell ref="CF57:CK57"/>
    <mergeCell ref="CF58:CK58"/>
    <mergeCell ref="CF59:CK59"/>
    <mergeCell ref="CF60:CK60"/>
    <mergeCell ref="CF61:CK61"/>
    <mergeCell ref="CF62:CK62"/>
    <mergeCell ref="CF64:CK64"/>
    <mergeCell ref="CF65:CK65"/>
    <mergeCell ref="BT111:BY111"/>
    <mergeCell ref="BZ111:CE111"/>
    <mergeCell ref="CL58:CQ58"/>
    <mergeCell ref="CL59:CQ59"/>
    <mergeCell ref="CL60:CQ60"/>
    <mergeCell ref="CL61:CQ61"/>
    <mergeCell ref="CF111:CK111"/>
    <mergeCell ref="CL111:CQ111"/>
    <mergeCell ref="CF105:CK105"/>
    <mergeCell ref="AJ111:AO111"/>
    <mergeCell ref="AP111:AU111"/>
    <mergeCell ref="AV111:BA111"/>
    <mergeCell ref="BB111:BG111"/>
    <mergeCell ref="BH111:BM111"/>
    <mergeCell ref="BN111:BS111"/>
    <mergeCell ref="CF107:CK107"/>
    <mergeCell ref="BN105:BS105"/>
    <mergeCell ref="BB110:BG110"/>
    <mergeCell ref="CL105:CQ105"/>
    <mergeCell ref="C111:E111"/>
    <mergeCell ref="F111:P111"/>
    <mergeCell ref="Q111:W111"/>
    <mergeCell ref="X111:AC111"/>
    <mergeCell ref="AD111:AI111"/>
    <mergeCell ref="BT108:BY108"/>
    <mergeCell ref="BZ108:CE108"/>
    <mergeCell ref="CF108:CK108"/>
    <mergeCell ref="CL108:CQ108"/>
    <mergeCell ref="CL62:CQ62"/>
    <mergeCell ref="CL63:CQ63"/>
    <mergeCell ref="BB102:BG102"/>
    <mergeCell ref="CR57:CW57"/>
    <mergeCell ref="CR58:CW58"/>
    <mergeCell ref="CL57:CQ57"/>
    <mergeCell ref="BZ57:CE57"/>
    <mergeCell ref="CF78:CK78"/>
    <mergeCell ref="CL78:CQ78"/>
    <mergeCell ref="CF79:CK79"/>
    <mergeCell ref="CR108:CW108"/>
    <mergeCell ref="CR61:CW61"/>
    <mergeCell ref="CR105:CW105"/>
    <mergeCell ref="CR75:CW75"/>
    <mergeCell ref="CR76:CW76"/>
    <mergeCell ref="CR77:CW77"/>
    <mergeCell ref="CR94:CW94"/>
    <mergeCell ref="CR95:CW95"/>
    <mergeCell ref="CR88:CW88"/>
    <mergeCell ref="CR89:CW89"/>
    <mergeCell ref="AV108:BA108"/>
    <mergeCell ref="BB108:BG108"/>
    <mergeCell ref="BH108:BM108"/>
    <mergeCell ref="BN108:BS108"/>
    <mergeCell ref="AV102:BA102"/>
    <mergeCell ref="CR107:CW107"/>
    <mergeCell ref="BH106:BM106"/>
    <mergeCell ref="CL103:CQ103"/>
    <mergeCell ref="BH104:BM104"/>
    <mergeCell ref="BN104:BS104"/>
    <mergeCell ref="C108:E108"/>
    <mergeCell ref="F108:P108"/>
    <mergeCell ref="Q108:W108"/>
    <mergeCell ref="X108:AC108"/>
    <mergeCell ref="AD108:AI108"/>
    <mergeCell ref="C45:E45"/>
    <mergeCell ref="F45:P45"/>
    <mergeCell ref="Q45:W45"/>
    <mergeCell ref="X45:AC45"/>
    <mergeCell ref="AD45:AI45"/>
    <mergeCell ref="CL45:CQ45"/>
    <mergeCell ref="AJ45:AO45"/>
    <mergeCell ref="AP45:AU45"/>
    <mergeCell ref="AV45:BA45"/>
    <mergeCell ref="BB45:BG45"/>
    <mergeCell ref="BH45:BM45"/>
    <mergeCell ref="BN45:BS45"/>
    <mergeCell ref="C46:E46"/>
    <mergeCell ref="C47:E47"/>
    <mergeCell ref="X46:AC46"/>
    <mergeCell ref="X47:AC47"/>
    <mergeCell ref="AP46:AU46"/>
    <mergeCell ref="BZ45:CE45"/>
    <mergeCell ref="AV47:BA47"/>
    <mergeCell ref="BB47:BG47"/>
    <mergeCell ref="AD47:AI47"/>
    <mergeCell ref="AJ46:AO46"/>
    <mergeCell ref="X59:AC59"/>
    <mergeCell ref="AD46:AI46"/>
    <mergeCell ref="Q50:W50"/>
    <mergeCell ref="Q51:W51"/>
    <mergeCell ref="Q52:W52"/>
    <mergeCell ref="Q53:W53"/>
    <mergeCell ref="Q54:W54"/>
    <mergeCell ref="Q56:W56"/>
    <mergeCell ref="X49:AC49"/>
    <mergeCell ref="AD49:AI49"/>
    <mergeCell ref="X57:AC57"/>
    <mergeCell ref="F46:P46"/>
    <mergeCell ref="F47:P47"/>
    <mergeCell ref="Q46:W46"/>
    <mergeCell ref="Q47:W47"/>
    <mergeCell ref="X58:AC58"/>
    <mergeCell ref="F56:P56"/>
    <mergeCell ref="F50:P50"/>
    <mergeCell ref="AP50:AU50"/>
    <mergeCell ref="AP51:AU51"/>
    <mergeCell ref="AP52:AU52"/>
    <mergeCell ref="AP53:AU53"/>
    <mergeCell ref="Q67:W67"/>
    <mergeCell ref="F65:P65"/>
    <mergeCell ref="X64:AC64"/>
    <mergeCell ref="X65:AC65"/>
    <mergeCell ref="AD58:AI58"/>
    <mergeCell ref="AD59:AI59"/>
    <mergeCell ref="AD91:AI91"/>
    <mergeCell ref="X76:AC76"/>
    <mergeCell ref="C68:E68"/>
    <mergeCell ref="C69:E69"/>
    <mergeCell ref="BZ107:CE107"/>
    <mergeCell ref="C73:E73"/>
    <mergeCell ref="C74:E74"/>
    <mergeCell ref="F70:P70"/>
    <mergeCell ref="BZ105:CE105"/>
    <mergeCell ref="BT78:BY78"/>
    <mergeCell ref="C66:E66"/>
    <mergeCell ref="C70:E70"/>
    <mergeCell ref="AD87:AI87"/>
    <mergeCell ref="AD88:AI88"/>
    <mergeCell ref="AD89:AI89"/>
    <mergeCell ref="AD90:AI90"/>
    <mergeCell ref="F66:P66"/>
    <mergeCell ref="F67:P67"/>
    <mergeCell ref="C67:E67"/>
    <mergeCell ref="Q66:W66"/>
    <mergeCell ref="C77:E77"/>
    <mergeCell ref="Q75:W75"/>
    <mergeCell ref="Q76:W76"/>
    <mergeCell ref="F64:P64"/>
    <mergeCell ref="AD62:AI62"/>
    <mergeCell ref="AD63:AI63"/>
    <mergeCell ref="F68:P68"/>
    <mergeCell ref="C64:E64"/>
    <mergeCell ref="C65:E65"/>
    <mergeCell ref="Q64:W64"/>
    <mergeCell ref="AV107:BA107"/>
    <mergeCell ref="BT107:BY107"/>
    <mergeCell ref="F74:P74"/>
    <mergeCell ref="Q65:W65"/>
    <mergeCell ref="AD86:AI86"/>
    <mergeCell ref="AP102:AU102"/>
    <mergeCell ref="X99:AC99"/>
    <mergeCell ref="X100:AC100"/>
    <mergeCell ref="X101:AC101"/>
    <mergeCell ref="BN106:BS106"/>
    <mergeCell ref="C55:E55"/>
    <mergeCell ref="F55:P55"/>
    <mergeCell ref="Q55:W55"/>
    <mergeCell ref="X55:AC55"/>
    <mergeCell ref="AD55:AI55"/>
    <mergeCell ref="AJ55:AO55"/>
    <mergeCell ref="BN21:BS21"/>
    <mergeCell ref="C48:E48"/>
    <mergeCell ref="F48:P48"/>
    <mergeCell ref="Q48:W48"/>
    <mergeCell ref="X48:AC48"/>
    <mergeCell ref="AD48:AI48"/>
    <mergeCell ref="AJ48:AO48"/>
    <mergeCell ref="BB46:BG46"/>
    <mergeCell ref="AJ47:AO47"/>
    <mergeCell ref="AP47:AU47"/>
    <mergeCell ref="BB21:BG21"/>
    <mergeCell ref="CL8:CQ13"/>
    <mergeCell ref="P112:CT112"/>
    <mergeCell ref="BH48:BM48"/>
    <mergeCell ref="BN48:BS48"/>
    <mergeCell ref="BT48:BY48"/>
    <mergeCell ref="BZ48:CE48"/>
    <mergeCell ref="CF48:CK48"/>
    <mergeCell ref="BT47:BY47"/>
    <mergeCell ref="BH21:BM21"/>
    <mergeCell ref="AJ20:AO20"/>
    <mergeCell ref="AP20:AU20"/>
    <mergeCell ref="AV20:BA20"/>
    <mergeCell ref="BT21:BY21"/>
    <mergeCell ref="C21:E21"/>
    <mergeCell ref="F21:P21"/>
    <mergeCell ref="Q21:W21"/>
    <mergeCell ref="X21:AC21"/>
    <mergeCell ref="AD21:AI21"/>
    <mergeCell ref="AJ21:AO21"/>
    <mergeCell ref="AJ22:AO22"/>
    <mergeCell ref="AP21:AU21"/>
    <mergeCell ref="AV21:BA21"/>
    <mergeCell ref="CL21:CQ21"/>
    <mergeCell ref="CR21:CW21"/>
    <mergeCell ref="C20:E20"/>
    <mergeCell ref="F20:P20"/>
    <mergeCell ref="Q20:W20"/>
    <mergeCell ref="X20:AC20"/>
    <mergeCell ref="AD20:AI20"/>
    <mergeCell ref="C23:E23"/>
    <mergeCell ref="F23:P23"/>
    <mergeCell ref="Q23:W23"/>
    <mergeCell ref="X23:AC23"/>
    <mergeCell ref="AD23:AI23"/>
    <mergeCell ref="Q22:W22"/>
    <mergeCell ref="X22:AC22"/>
    <mergeCell ref="AD22:AI22"/>
    <mergeCell ref="BZ46:CE46"/>
    <mergeCell ref="BT22:BY22"/>
    <mergeCell ref="BZ22:CE22"/>
    <mergeCell ref="CF22:CK22"/>
    <mergeCell ref="CL22:CQ22"/>
    <mergeCell ref="CR22:CW22"/>
    <mergeCell ref="CR45:CW45"/>
    <mergeCell ref="BT45:BY45"/>
    <mergeCell ref="CR24:CW24"/>
    <mergeCell ref="CF45:CK45"/>
    <mergeCell ref="BN47:BS47"/>
    <mergeCell ref="CR23:CW23"/>
    <mergeCell ref="X98:AC98"/>
    <mergeCell ref="AD82:AI82"/>
    <mergeCell ref="AD83:AI83"/>
    <mergeCell ref="AD84:AI84"/>
    <mergeCell ref="AD85:AI85"/>
    <mergeCell ref="AV50:BA50"/>
    <mergeCell ref="BN46:BS46"/>
    <mergeCell ref="BT46:BY46"/>
    <mergeCell ref="X93:AC93"/>
    <mergeCell ref="CL48:CQ48"/>
    <mergeCell ref="BH23:BM23"/>
    <mergeCell ref="BN23:BS23"/>
    <mergeCell ref="BT23:BY23"/>
    <mergeCell ref="CL23:CQ23"/>
    <mergeCell ref="CF46:CK46"/>
    <mergeCell ref="CL46:CQ46"/>
    <mergeCell ref="CF47:CK47"/>
    <mergeCell ref="CL47:CQ47"/>
    <mergeCell ref="BZ47:CE47"/>
    <mergeCell ref="BB48:BG48"/>
    <mergeCell ref="AP55:AU55"/>
    <mergeCell ref="AJ63:AO63"/>
    <mergeCell ref="AD56:AI56"/>
    <mergeCell ref="X95:AC95"/>
    <mergeCell ref="X89:AC89"/>
    <mergeCell ref="X90:AC90"/>
    <mergeCell ref="X91:AC91"/>
    <mergeCell ref="X92:AC92"/>
    <mergeCell ref="BB34:BG34"/>
    <mergeCell ref="BH34:BM34"/>
    <mergeCell ref="BN34:BS34"/>
    <mergeCell ref="BT34:BY34"/>
    <mergeCell ref="AP39:AU39"/>
    <mergeCell ref="AP40:AU40"/>
    <mergeCell ref="AV39:BA39"/>
    <mergeCell ref="AP34:AU34"/>
    <mergeCell ref="AV34:BA34"/>
    <mergeCell ref="BB39:BG39"/>
    <mergeCell ref="AP48:AU48"/>
    <mergeCell ref="AJ61:AO61"/>
    <mergeCell ref="AJ62:AO62"/>
    <mergeCell ref="AV48:BA48"/>
    <mergeCell ref="AV46:BA46"/>
    <mergeCell ref="AJ40:AO40"/>
    <mergeCell ref="AJ41:AO41"/>
    <mergeCell ref="AP41:AU41"/>
    <mergeCell ref="AJ42:AO42"/>
    <mergeCell ref="AJ43:AO43"/>
    <mergeCell ref="X84:AC84"/>
    <mergeCell ref="X85:AC85"/>
    <mergeCell ref="X86:AC86"/>
    <mergeCell ref="X87:AC87"/>
    <mergeCell ref="X88:AC88"/>
    <mergeCell ref="AJ34:AO34"/>
    <mergeCell ref="AD78:AI78"/>
    <mergeCell ref="AD79:AI79"/>
    <mergeCell ref="AD80:AI80"/>
    <mergeCell ref="AD81:AI81"/>
    <mergeCell ref="X78:AC78"/>
    <mergeCell ref="X79:AC79"/>
    <mergeCell ref="X80:AC80"/>
    <mergeCell ref="X81:AC81"/>
    <mergeCell ref="X82:AC82"/>
    <mergeCell ref="X83:AC83"/>
    <mergeCell ref="Q97:W97"/>
    <mergeCell ref="Q98:W98"/>
    <mergeCell ref="Q99:W99"/>
    <mergeCell ref="Q100:W100"/>
    <mergeCell ref="Q101:W101"/>
    <mergeCell ref="Q90:W90"/>
    <mergeCell ref="Q91:W91"/>
    <mergeCell ref="Q92:W92"/>
    <mergeCell ref="Q93:W93"/>
    <mergeCell ref="Q94:W94"/>
    <mergeCell ref="Q95:W95"/>
    <mergeCell ref="Q84:W84"/>
    <mergeCell ref="Q85:W85"/>
    <mergeCell ref="Q86:W86"/>
    <mergeCell ref="Q87:W87"/>
    <mergeCell ref="Q88:W88"/>
    <mergeCell ref="Q89:W89"/>
    <mergeCell ref="F98:P98"/>
    <mergeCell ref="F99:P99"/>
    <mergeCell ref="F100:P100"/>
    <mergeCell ref="F101:P101"/>
    <mergeCell ref="Q78:W78"/>
    <mergeCell ref="Q79:W79"/>
    <mergeCell ref="Q80:W80"/>
    <mergeCell ref="Q81:W81"/>
    <mergeCell ref="Q82:W82"/>
    <mergeCell ref="Q83:W83"/>
    <mergeCell ref="F92:P92"/>
    <mergeCell ref="F93:P93"/>
    <mergeCell ref="F94:P94"/>
    <mergeCell ref="F95:P95"/>
    <mergeCell ref="F96:P96"/>
    <mergeCell ref="F97:P97"/>
    <mergeCell ref="F86:P86"/>
    <mergeCell ref="F87:P87"/>
    <mergeCell ref="F88:P88"/>
    <mergeCell ref="F89:P89"/>
    <mergeCell ref="F90:P90"/>
    <mergeCell ref="F91:P91"/>
    <mergeCell ref="C100:E100"/>
    <mergeCell ref="C101:E101"/>
    <mergeCell ref="F78:P78"/>
    <mergeCell ref="F79:P79"/>
    <mergeCell ref="F80:P80"/>
    <mergeCell ref="F81:P81"/>
    <mergeCell ref="F82:P82"/>
    <mergeCell ref="F83:P83"/>
    <mergeCell ref="F84:P84"/>
    <mergeCell ref="F85:P85"/>
    <mergeCell ref="C94:E94"/>
    <mergeCell ref="C95:E95"/>
    <mergeCell ref="C96:E96"/>
    <mergeCell ref="C97:E97"/>
    <mergeCell ref="C98:E98"/>
    <mergeCell ref="C99:E99"/>
    <mergeCell ref="C102:E102"/>
    <mergeCell ref="C87:E87"/>
    <mergeCell ref="C88:E88"/>
    <mergeCell ref="C78:E78"/>
    <mergeCell ref="C79:E79"/>
    <mergeCell ref="C80:E80"/>
    <mergeCell ref="C81:E81"/>
    <mergeCell ref="C82:E82"/>
    <mergeCell ref="C83:E83"/>
    <mergeCell ref="C93:E93"/>
    <mergeCell ref="C38:E38"/>
    <mergeCell ref="C84:E84"/>
    <mergeCell ref="C85:E85"/>
    <mergeCell ref="C86:E86"/>
    <mergeCell ref="C107:E107"/>
    <mergeCell ref="F107:P107"/>
    <mergeCell ref="C89:E89"/>
    <mergeCell ref="C90:E90"/>
    <mergeCell ref="C91:E91"/>
    <mergeCell ref="C92:E92"/>
    <mergeCell ref="C31:E31"/>
    <mergeCell ref="C32:E32"/>
    <mergeCell ref="C33:E33"/>
    <mergeCell ref="C35:E35"/>
    <mergeCell ref="C36:E36"/>
    <mergeCell ref="C37:E37"/>
    <mergeCell ref="C34:E34"/>
    <mergeCell ref="C39:E39"/>
    <mergeCell ref="C40:E40"/>
    <mergeCell ref="C41:E41"/>
    <mergeCell ref="C42:E42"/>
    <mergeCell ref="C43:E43"/>
    <mergeCell ref="C44:E44"/>
    <mergeCell ref="F31:P31"/>
    <mergeCell ref="F32:P32"/>
    <mergeCell ref="F33:P33"/>
    <mergeCell ref="F35:P35"/>
    <mergeCell ref="F36:P36"/>
    <mergeCell ref="F37:P37"/>
    <mergeCell ref="F34:P34"/>
    <mergeCell ref="F38:P38"/>
    <mergeCell ref="F39:P39"/>
    <mergeCell ref="F40:P40"/>
    <mergeCell ref="F41:P41"/>
    <mergeCell ref="F42:P42"/>
    <mergeCell ref="F43:P43"/>
    <mergeCell ref="F44:P44"/>
    <mergeCell ref="Q31:W31"/>
    <mergeCell ref="Q32:W32"/>
    <mergeCell ref="Q33:W33"/>
    <mergeCell ref="Q35:W35"/>
    <mergeCell ref="Q36:W36"/>
    <mergeCell ref="Q37:W37"/>
    <mergeCell ref="Q40:W40"/>
    <mergeCell ref="Q41:W41"/>
    <mergeCell ref="Q42:W42"/>
    <mergeCell ref="Q43:W43"/>
    <mergeCell ref="Q44:W44"/>
    <mergeCell ref="X31:AC31"/>
    <mergeCell ref="X32:AC32"/>
    <mergeCell ref="X33:AC33"/>
    <mergeCell ref="X35:AC35"/>
    <mergeCell ref="X36:AC36"/>
    <mergeCell ref="X37:AC37"/>
    <mergeCell ref="X38:AC38"/>
    <mergeCell ref="X39:AC39"/>
    <mergeCell ref="X40:AC40"/>
    <mergeCell ref="X41:AC41"/>
    <mergeCell ref="X42:AC42"/>
    <mergeCell ref="X43:AC43"/>
    <mergeCell ref="X44:AC44"/>
    <mergeCell ref="AD31:AI31"/>
    <mergeCell ref="AD32:AI32"/>
    <mergeCell ref="AD33:AI33"/>
    <mergeCell ref="AD35:AI35"/>
    <mergeCell ref="AD36:AI36"/>
    <mergeCell ref="AD37:AI37"/>
    <mergeCell ref="AD38:AI38"/>
    <mergeCell ref="AD39:AI39"/>
    <mergeCell ref="AD40:AI40"/>
    <mergeCell ref="AD41:AI41"/>
    <mergeCell ref="AD42:AI42"/>
    <mergeCell ref="AD43:AI43"/>
    <mergeCell ref="AD44:AI44"/>
    <mergeCell ref="AJ31:AO31"/>
    <mergeCell ref="AJ32:AO32"/>
    <mergeCell ref="AJ33:AO33"/>
    <mergeCell ref="AJ35:AO35"/>
    <mergeCell ref="AJ36:AO36"/>
    <mergeCell ref="AJ37:AO37"/>
    <mergeCell ref="AJ38:AO38"/>
    <mergeCell ref="AJ39:AO39"/>
    <mergeCell ref="AJ44:AO44"/>
    <mergeCell ref="AP31:AU31"/>
    <mergeCell ref="AP32:AU32"/>
    <mergeCell ref="AP33:AU33"/>
    <mergeCell ref="AP35:AU35"/>
    <mergeCell ref="AP36:AU36"/>
    <mergeCell ref="AP37:AU37"/>
    <mergeCell ref="AP38:AU38"/>
    <mergeCell ref="AP42:AU42"/>
    <mergeCell ref="AP43:AU43"/>
    <mergeCell ref="AP44:AU44"/>
    <mergeCell ref="AV31:BA31"/>
    <mergeCell ref="AV32:BA32"/>
    <mergeCell ref="AV33:BA33"/>
    <mergeCell ref="AV35:BA35"/>
    <mergeCell ref="AV36:BA36"/>
    <mergeCell ref="AV37:BA37"/>
    <mergeCell ref="AV38:BA38"/>
    <mergeCell ref="AV40:BA40"/>
    <mergeCell ref="AV41:BA41"/>
    <mergeCell ref="AV42:BA42"/>
    <mergeCell ref="AV43:BA43"/>
    <mergeCell ref="AV44:BA44"/>
    <mergeCell ref="BB31:BG31"/>
    <mergeCell ref="BB32:BG32"/>
    <mergeCell ref="BB33:BG33"/>
    <mergeCell ref="BB35:BG35"/>
    <mergeCell ref="BB36:BG36"/>
    <mergeCell ref="BB37:BG37"/>
    <mergeCell ref="BB38:BG38"/>
    <mergeCell ref="BB40:BG40"/>
    <mergeCell ref="BB41:BG41"/>
    <mergeCell ref="BB42:BG42"/>
    <mergeCell ref="BB43:BG43"/>
    <mergeCell ref="BB44:BG44"/>
    <mergeCell ref="BH31:BM31"/>
    <mergeCell ref="BH32:BM32"/>
    <mergeCell ref="BH33:BM33"/>
    <mergeCell ref="BH35:BM35"/>
    <mergeCell ref="BH36:BM36"/>
    <mergeCell ref="BH37:BM37"/>
    <mergeCell ref="BH38:BM38"/>
    <mergeCell ref="BH39:BM39"/>
    <mergeCell ref="BH44:BM44"/>
    <mergeCell ref="BN31:BS31"/>
    <mergeCell ref="BN32:BS32"/>
    <mergeCell ref="BN33:BS33"/>
    <mergeCell ref="BN35:BS35"/>
    <mergeCell ref="BN36:BS36"/>
    <mergeCell ref="BN38:BS38"/>
    <mergeCell ref="BN39:BS39"/>
    <mergeCell ref="BN40:BS40"/>
    <mergeCell ref="BN41:BS41"/>
    <mergeCell ref="BN42:BS42"/>
    <mergeCell ref="BH40:BM40"/>
    <mergeCell ref="BH41:BM41"/>
    <mergeCell ref="BH42:BM42"/>
    <mergeCell ref="BN43:BS43"/>
    <mergeCell ref="BH43:BM43"/>
    <mergeCell ref="BN44:BS44"/>
    <mergeCell ref="BT31:BY31"/>
    <mergeCell ref="BT32:BY32"/>
    <mergeCell ref="BT33:BY33"/>
    <mergeCell ref="BT35:BY35"/>
    <mergeCell ref="BT36:BY36"/>
    <mergeCell ref="BT37:BY37"/>
    <mergeCell ref="BT38:BY38"/>
    <mergeCell ref="BT39:BY39"/>
    <mergeCell ref="BT43:BY43"/>
    <mergeCell ref="BT44:BY44"/>
    <mergeCell ref="BZ31:CE31"/>
    <mergeCell ref="BZ32:CE32"/>
    <mergeCell ref="BZ33:CE33"/>
    <mergeCell ref="BZ35:CE35"/>
    <mergeCell ref="BZ36:CE36"/>
    <mergeCell ref="BZ34:CE34"/>
    <mergeCell ref="BZ40:CE40"/>
    <mergeCell ref="BZ41:CE41"/>
    <mergeCell ref="BZ42:CE42"/>
    <mergeCell ref="BT40:BY40"/>
    <mergeCell ref="BT41:BY41"/>
    <mergeCell ref="BT42:BY42"/>
    <mergeCell ref="BZ43:CE43"/>
    <mergeCell ref="BZ44:CE44"/>
    <mergeCell ref="CF31:CK31"/>
    <mergeCell ref="CF32:CK32"/>
    <mergeCell ref="CF33:CK33"/>
    <mergeCell ref="CF35:CK35"/>
    <mergeCell ref="CF36:CK36"/>
    <mergeCell ref="CF37:CK37"/>
    <mergeCell ref="CF38:CK38"/>
    <mergeCell ref="CF39:CK39"/>
    <mergeCell ref="CF34:CK34"/>
    <mergeCell ref="CL31:CQ31"/>
    <mergeCell ref="CL32:CQ32"/>
    <mergeCell ref="CL33:CQ33"/>
    <mergeCell ref="CL35:CQ35"/>
    <mergeCell ref="CL36:CQ36"/>
    <mergeCell ref="CL34:CQ34"/>
    <mergeCell ref="CL42:CQ42"/>
    <mergeCell ref="CF40:CK40"/>
    <mergeCell ref="CF41:CK41"/>
    <mergeCell ref="CF42:CK42"/>
    <mergeCell ref="CL43:CQ43"/>
    <mergeCell ref="CL44:CQ44"/>
    <mergeCell ref="CF43:CK43"/>
    <mergeCell ref="CF44:CK44"/>
    <mergeCell ref="CL40:CQ40"/>
    <mergeCell ref="CL41:CQ41"/>
    <mergeCell ref="Q34:W34"/>
    <mergeCell ref="X34:AC34"/>
    <mergeCell ref="AD34:AI34"/>
    <mergeCell ref="CL37:CQ37"/>
    <mergeCell ref="CL38:CQ38"/>
    <mergeCell ref="CL39:CQ39"/>
    <mergeCell ref="BZ37:CE37"/>
    <mergeCell ref="BZ38:CE38"/>
    <mergeCell ref="BZ39:CE39"/>
    <mergeCell ref="BN37:BS37"/>
    <mergeCell ref="CL79:CQ79"/>
    <mergeCell ref="CF80:CK80"/>
    <mergeCell ref="CL80:CQ80"/>
    <mergeCell ref="BN81:BS81"/>
    <mergeCell ref="BT81:BY81"/>
    <mergeCell ref="BZ81:CE81"/>
    <mergeCell ref="CF81:CK81"/>
    <mergeCell ref="CL81:CQ81"/>
    <mergeCell ref="BZ80:CE80"/>
    <mergeCell ref="CF82:CK82"/>
    <mergeCell ref="CL82:CQ82"/>
    <mergeCell ref="BN83:BS83"/>
    <mergeCell ref="BT83:BY83"/>
    <mergeCell ref="BZ83:CE83"/>
    <mergeCell ref="CF83:CK83"/>
    <mergeCell ref="CL83:CQ83"/>
    <mergeCell ref="BN82:BS82"/>
    <mergeCell ref="BZ82:CE82"/>
    <mergeCell ref="BZ84:CE84"/>
    <mergeCell ref="CF84:CK84"/>
    <mergeCell ref="CL84:CQ84"/>
    <mergeCell ref="BN85:BS85"/>
    <mergeCell ref="BT85:BY85"/>
    <mergeCell ref="BZ85:CE85"/>
    <mergeCell ref="CF85:CK85"/>
    <mergeCell ref="CL85:CQ85"/>
    <mergeCell ref="BT86:BY86"/>
    <mergeCell ref="BZ86:CE86"/>
    <mergeCell ref="CF86:CK86"/>
    <mergeCell ref="CL86:CQ86"/>
    <mergeCell ref="BN87:BS87"/>
    <mergeCell ref="BT87:BY87"/>
    <mergeCell ref="BZ87:CE87"/>
    <mergeCell ref="CF87:CK87"/>
    <mergeCell ref="CL87:CQ87"/>
    <mergeCell ref="BT88:BY88"/>
    <mergeCell ref="BZ88:CE88"/>
    <mergeCell ref="CF88:CK88"/>
    <mergeCell ref="CL88:CQ88"/>
    <mergeCell ref="BN89:BS89"/>
    <mergeCell ref="BT89:BY89"/>
    <mergeCell ref="BZ89:CE89"/>
    <mergeCell ref="CF89:CK89"/>
    <mergeCell ref="CL89:CQ89"/>
    <mergeCell ref="BN88:BS88"/>
    <mergeCell ref="BT90:BY90"/>
    <mergeCell ref="BZ90:CE90"/>
    <mergeCell ref="CF90:CK90"/>
    <mergeCell ref="CL90:CQ90"/>
    <mergeCell ref="BN91:BS91"/>
    <mergeCell ref="BT91:BY91"/>
    <mergeCell ref="BZ91:CE91"/>
    <mergeCell ref="CF91:CK91"/>
    <mergeCell ref="CL91:CQ91"/>
    <mergeCell ref="BT92:BY92"/>
    <mergeCell ref="BZ92:CE92"/>
    <mergeCell ref="CF92:CK92"/>
    <mergeCell ref="CL92:CQ92"/>
    <mergeCell ref="BN93:BS93"/>
    <mergeCell ref="BT93:BY93"/>
    <mergeCell ref="BZ93:CE93"/>
    <mergeCell ref="CF93:CK93"/>
    <mergeCell ref="CL93:CQ93"/>
    <mergeCell ref="BN94:BS94"/>
    <mergeCell ref="BT94:BY94"/>
    <mergeCell ref="BZ94:CE94"/>
    <mergeCell ref="CF94:CK94"/>
    <mergeCell ref="CL94:CQ94"/>
    <mergeCell ref="BN95:BS95"/>
    <mergeCell ref="BT95:BY95"/>
    <mergeCell ref="BZ95:CE95"/>
    <mergeCell ref="CF95:CK95"/>
    <mergeCell ref="CL95:CQ95"/>
    <mergeCell ref="BN96:BS96"/>
    <mergeCell ref="BT96:BY96"/>
    <mergeCell ref="BZ96:CE96"/>
    <mergeCell ref="CF96:CK96"/>
    <mergeCell ref="CL96:CQ96"/>
    <mergeCell ref="BN97:BS97"/>
    <mergeCell ref="BT97:BY97"/>
    <mergeCell ref="BZ97:CE97"/>
    <mergeCell ref="CF97:CK97"/>
    <mergeCell ref="CL97:CQ97"/>
    <mergeCell ref="BN98:BS98"/>
    <mergeCell ref="BT98:BY98"/>
    <mergeCell ref="BZ98:CE98"/>
    <mergeCell ref="CF98:CK98"/>
    <mergeCell ref="CL98:CQ98"/>
    <mergeCell ref="BN99:BS99"/>
    <mergeCell ref="BT99:BY99"/>
    <mergeCell ref="BZ99:CE99"/>
    <mergeCell ref="CF99:CK99"/>
    <mergeCell ref="CL99:CQ99"/>
    <mergeCell ref="BN100:BS100"/>
    <mergeCell ref="BT100:BY100"/>
    <mergeCell ref="BZ100:CE100"/>
    <mergeCell ref="CF100:CK100"/>
    <mergeCell ref="CL100:CQ100"/>
    <mergeCell ref="BN101:BS101"/>
    <mergeCell ref="BT101:BY101"/>
    <mergeCell ref="BZ101:CE101"/>
    <mergeCell ref="CF101:CK101"/>
    <mergeCell ref="CL101:CQ101"/>
    <mergeCell ref="BB109:BG109"/>
    <mergeCell ref="X104:AC104"/>
    <mergeCell ref="BB107:BG107"/>
    <mergeCell ref="BB105:BG105"/>
    <mergeCell ref="AP105:AU105"/>
    <mergeCell ref="BB104:BG104"/>
    <mergeCell ref="X107:AC107"/>
    <mergeCell ref="AD107:AI107"/>
    <mergeCell ref="AJ107:AO107"/>
    <mergeCell ref="AP107:AU107"/>
    <mergeCell ref="CF103:CK103"/>
    <mergeCell ref="AD104:AI104"/>
    <mergeCell ref="AJ104:AO104"/>
    <mergeCell ref="AP104:AU104"/>
    <mergeCell ref="AV104:BA104"/>
    <mergeCell ref="X102:AC102"/>
    <mergeCell ref="X103:AC103"/>
    <mergeCell ref="AD103:AI103"/>
    <mergeCell ref="AJ103:AO103"/>
    <mergeCell ref="AV103:BA103"/>
    <mergeCell ref="AV109:BA109"/>
    <mergeCell ref="C104:E104"/>
    <mergeCell ref="C103:E103"/>
    <mergeCell ref="F102:P102"/>
    <mergeCell ref="F103:P103"/>
    <mergeCell ref="F104:P104"/>
    <mergeCell ref="Q107:W107"/>
    <mergeCell ref="Q102:W102"/>
    <mergeCell ref="Q103:W103"/>
    <mergeCell ref="Q104:W104"/>
    <mergeCell ref="BZ109:CE109"/>
    <mergeCell ref="BT104:BY104"/>
    <mergeCell ref="CF104:CK104"/>
    <mergeCell ref="CL104:CQ104"/>
    <mergeCell ref="C109:E109"/>
    <mergeCell ref="C110:E110"/>
    <mergeCell ref="F109:P109"/>
    <mergeCell ref="F110:P110"/>
    <mergeCell ref="AP109:AU109"/>
    <mergeCell ref="AP110:AU110"/>
    <mergeCell ref="BH110:BM110"/>
    <mergeCell ref="CR109:CW109"/>
    <mergeCell ref="CR110:CW110"/>
    <mergeCell ref="Q109:W109"/>
    <mergeCell ref="Q110:W110"/>
    <mergeCell ref="X109:AC109"/>
    <mergeCell ref="X110:AC110"/>
    <mergeCell ref="AD109:AI109"/>
    <mergeCell ref="AV110:BA110"/>
    <mergeCell ref="BT110:BY110"/>
    <mergeCell ref="CR25:CW26"/>
    <mergeCell ref="AD110:AI110"/>
    <mergeCell ref="AJ109:AO109"/>
    <mergeCell ref="AJ110:AO110"/>
    <mergeCell ref="CL109:CQ109"/>
    <mergeCell ref="CL110:CQ110"/>
    <mergeCell ref="BT109:BY109"/>
    <mergeCell ref="BZ110:CE110"/>
    <mergeCell ref="CF109:CK109"/>
    <mergeCell ref="CF110:CK110"/>
    <mergeCell ref="C16:E16"/>
    <mergeCell ref="F16:P16"/>
    <mergeCell ref="Q16:W16"/>
    <mergeCell ref="X16:AC16"/>
    <mergeCell ref="AD16:AI16"/>
    <mergeCell ref="AJ16:AO16"/>
    <mergeCell ref="CF16:CK16"/>
    <mergeCell ref="CL16:CQ16"/>
    <mergeCell ref="CR16:CW16"/>
    <mergeCell ref="AP16:AU16"/>
    <mergeCell ref="AV16:BA16"/>
    <mergeCell ref="BB16:BG16"/>
    <mergeCell ref="BH16:BM16"/>
    <mergeCell ref="BN16:BS16"/>
    <mergeCell ref="BT16:BY16"/>
  </mergeCells>
  <printOptions/>
  <pageMargins left="0.7" right="0.7" top="0.75" bottom="0.75" header="0.3" footer="0.3"/>
  <pageSetup horizontalDpi="600" verticalDpi="600" orientation="landscape" paperSize="9" scale="60" r:id="rId1"/>
  <headerFooter alignWithMargins="0">
    <oddHeader>&amp;L&amp;"Arial,обычный"&amp;6Подготовлено с использованием системы ГАРАНТ</oddHeader>
  </headerFooter>
  <ignoredErrors>
    <ignoredError sqref="D25:E25 D54:E54 D47:E47 D26:E26 D28:E28 D30:E30 D27:E27 D29:E29 D46:E46 D50:E50 D51:E51 D53:E5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zoomScalePageLayoutView="0" workbookViewId="0" topLeftCell="A1">
      <selection activeCell="AX13" sqref="AX13:BG13"/>
    </sheetView>
  </sheetViews>
  <sheetFormatPr defaultColWidth="1.37890625" defaultRowHeight="12.75"/>
  <cols>
    <col min="1" max="16384" width="1.37890625" style="1" customWidth="1"/>
  </cols>
  <sheetData>
    <row r="1" s="13" customFormat="1" ht="12">
      <c r="CU1" s="12" t="s">
        <v>78</v>
      </c>
    </row>
    <row r="2" spans="1:99" s="14" customFormat="1" ht="12.75" customHeight="1">
      <c r="A2" s="201" t="s">
        <v>79</v>
      </c>
      <c r="B2" s="202"/>
      <c r="C2" s="202"/>
      <c r="D2" s="202"/>
      <c r="E2" s="202"/>
      <c r="F2" s="203"/>
      <c r="G2" s="215" t="s">
        <v>80</v>
      </c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01" t="s">
        <v>84</v>
      </c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3"/>
      <c r="BR2" s="208" t="s">
        <v>81</v>
      </c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10"/>
      <c r="CL2" s="215" t="s">
        <v>43</v>
      </c>
      <c r="CM2" s="215"/>
      <c r="CN2" s="215"/>
      <c r="CO2" s="215"/>
      <c r="CP2" s="215"/>
      <c r="CQ2" s="215"/>
      <c r="CR2" s="215"/>
      <c r="CS2" s="215"/>
      <c r="CT2" s="215"/>
      <c r="CU2" s="215"/>
    </row>
    <row r="3" spans="1:99" s="14" customFormat="1" ht="12.7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204" t="s">
        <v>125</v>
      </c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6"/>
      <c r="BR3" s="211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3"/>
      <c r="CL3" s="197" t="s">
        <v>44</v>
      </c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99" s="14" customFormat="1" ht="12.7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9" t="s">
        <v>83</v>
      </c>
      <c r="AY4" s="199"/>
      <c r="AZ4" s="199"/>
      <c r="BA4" s="199"/>
      <c r="BB4" s="199"/>
      <c r="BC4" s="199"/>
      <c r="BD4" s="199"/>
      <c r="BE4" s="199"/>
      <c r="BF4" s="199"/>
      <c r="BG4" s="199"/>
      <c r="BH4" s="199" t="s">
        <v>82</v>
      </c>
      <c r="BI4" s="199"/>
      <c r="BJ4" s="199"/>
      <c r="BK4" s="199"/>
      <c r="BL4" s="199"/>
      <c r="BM4" s="199"/>
      <c r="BN4" s="199"/>
      <c r="BO4" s="199"/>
      <c r="BP4" s="199"/>
      <c r="BQ4" s="199"/>
      <c r="BR4" s="197" t="s">
        <v>124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97" t="s">
        <v>42</v>
      </c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99" s="14" customFormat="1" ht="12.7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 t="s">
        <v>64</v>
      </c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99" s="14" customFormat="1" ht="12.75">
      <c r="A6" s="207"/>
      <c r="B6" s="207"/>
      <c r="C6" s="207"/>
      <c r="D6" s="207"/>
      <c r="E6" s="207"/>
      <c r="F6" s="207"/>
      <c r="G6" s="207">
        <v>1</v>
      </c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>
        <v>2</v>
      </c>
      <c r="AY6" s="207"/>
      <c r="AZ6" s="207"/>
      <c r="BA6" s="207"/>
      <c r="BB6" s="207"/>
      <c r="BC6" s="207"/>
      <c r="BD6" s="207"/>
      <c r="BE6" s="207"/>
      <c r="BF6" s="207"/>
      <c r="BG6" s="207"/>
      <c r="BH6" s="207">
        <v>3</v>
      </c>
      <c r="BI6" s="207"/>
      <c r="BJ6" s="207"/>
      <c r="BK6" s="207"/>
      <c r="BL6" s="207"/>
      <c r="BM6" s="207"/>
      <c r="BN6" s="207"/>
      <c r="BO6" s="207"/>
      <c r="BP6" s="207"/>
      <c r="BQ6" s="207"/>
      <c r="BR6" s="207">
        <v>4</v>
      </c>
      <c r="BS6" s="207"/>
      <c r="BT6" s="207"/>
      <c r="BU6" s="207"/>
      <c r="BV6" s="207"/>
      <c r="BW6" s="207"/>
      <c r="BX6" s="207"/>
      <c r="BY6" s="207"/>
      <c r="BZ6" s="207"/>
      <c r="CA6" s="207"/>
      <c r="CB6" s="207">
        <v>5</v>
      </c>
      <c r="CC6" s="207"/>
      <c r="CD6" s="207"/>
      <c r="CE6" s="207"/>
      <c r="CF6" s="207"/>
      <c r="CG6" s="207"/>
      <c r="CH6" s="207"/>
      <c r="CI6" s="207"/>
      <c r="CJ6" s="207"/>
      <c r="CK6" s="207"/>
      <c r="CL6" s="207">
        <v>6</v>
      </c>
      <c r="CM6" s="207"/>
      <c r="CN6" s="207"/>
      <c r="CO6" s="207"/>
      <c r="CP6" s="207"/>
      <c r="CQ6" s="207"/>
      <c r="CR6" s="207"/>
      <c r="CS6" s="207"/>
      <c r="CT6" s="207"/>
      <c r="CU6" s="207"/>
    </row>
    <row r="7" spans="1:99" s="14" customFormat="1" ht="15" customHeight="1">
      <c r="A7" s="226"/>
      <c r="B7" s="226"/>
      <c r="C7" s="226"/>
      <c r="D7" s="226"/>
      <c r="E7" s="226"/>
      <c r="F7" s="226"/>
      <c r="G7" s="223" t="s">
        <v>85</v>
      </c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5"/>
      <c r="AX7" s="194">
        <v>85.38</v>
      </c>
      <c r="AY7" s="195"/>
      <c r="AZ7" s="195"/>
      <c r="BA7" s="195"/>
      <c r="BB7" s="195"/>
      <c r="BC7" s="195"/>
      <c r="BD7" s="195"/>
      <c r="BE7" s="195"/>
      <c r="BF7" s="195"/>
      <c r="BG7" s="196"/>
      <c r="BH7" s="192">
        <f>SUM(BH13)</f>
        <v>31.286</v>
      </c>
      <c r="BI7" s="192"/>
      <c r="BJ7" s="192"/>
      <c r="BK7" s="192"/>
      <c r="BL7" s="192"/>
      <c r="BM7" s="192"/>
      <c r="BN7" s="192"/>
      <c r="BO7" s="192"/>
      <c r="BP7" s="192"/>
      <c r="BQ7" s="192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14"/>
      <c r="CM7" s="214"/>
      <c r="CN7" s="214"/>
      <c r="CO7" s="214"/>
      <c r="CP7" s="214"/>
      <c r="CQ7" s="214"/>
      <c r="CR7" s="214"/>
      <c r="CS7" s="214"/>
      <c r="CT7" s="214"/>
      <c r="CU7" s="214"/>
    </row>
    <row r="8" spans="1:99" s="14" customFormat="1" ht="15" customHeight="1">
      <c r="A8" s="227" t="s">
        <v>89</v>
      </c>
      <c r="B8" s="227"/>
      <c r="C8" s="227"/>
      <c r="D8" s="227"/>
      <c r="E8" s="227"/>
      <c r="F8" s="227"/>
      <c r="G8" s="216" t="s">
        <v>86</v>
      </c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8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8"/>
      <c r="CM8" s="198"/>
      <c r="CN8" s="198"/>
      <c r="CO8" s="198"/>
      <c r="CP8" s="198"/>
      <c r="CQ8" s="198"/>
      <c r="CR8" s="198"/>
      <c r="CS8" s="198"/>
      <c r="CT8" s="198"/>
      <c r="CU8" s="198"/>
    </row>
    <row r="9" spans="1:99" s="14" customFormat="1" ht="15" customHeight="1">
      <c r="A9" s="226" t="s">
        <v>90</v>
      </c>
      <c r="B9" s="226"/>
      <c r="C9" s="226"/>
      <c r="D9" s="226"/>
      <c r="E9" s="226"/>
      <c r="F9" s="226"/>
      <c r="G9" s="219" t="s">
        <v>87</v>
      </c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1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14"/>
      <c r="CM9" s="214"/>
      <c r="CN9" s="214"/>
      <c r="CO9" s="214"/>
      <c r="CP9" s="214"/>
      <c r="CQ9" s="214"/>
      <c r="CR9" s="214"/>
      <c r="CS9" s="214"/>
      <c r="CT9" s="214"/>
      <c r="CU9" s="214"/>
    </row>
    <row r="10" spans="1:99" s="14" customFormat="1" ht="15" customHeight="1">
      <c r="A10" s="227" t="s">
        <v>91</v>
      </c>
      <c r="B10" s="227"/>
      <c r="C10" s="227"/>
      <c r="D10" s="227"/>
      <c r="E10" s="227"/>
      <c r="F10" s="227"/>
      <c r="G10" s="216" t="s">
        <v>88</v>
      </c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8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</row>
    <row r="11" spans="1:99" s="14" customFormat="1" ht="15" customHeight="1">
      <c r="A11" s="227" t="s">
        <v>107</v>
      </c>
      <c r="B11" s="227"/>
      <c r="C11" s="227"/>
      <c r="D11" s="227"/>
      <c r="E11" s="227"/>
      <c r="F11" s="227"/>
      <c r="G11" s="216" t="s">
        <v>92</v>
      </c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8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</row>
    <row r="12" spans="1:99" s="14" customFormat="1" ht="15" customHeight="1">
      <c r="A12" s="227" t="s">
        <v>108</v>
      </c>
      <c r="B12" s="227"/>
      <c r="C12" s="227"/>
      <c r="D12" s="227"/>
      <c r="E12" s="227"/>
      <c r="F12" s="227"/>
      <c r="G12" s="216" t="s">
        <v>93</v>
      </c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8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</row>
    <row r="13" spans="1:99" s="14" customFormat="1" ht="15" customHeight="1">
      <c r="A13" s="227" t="s">
        <v>109</v>
      </c>
      <c r="B13" s="227"/>
      <c r="C13" s="227"/>
      <c r="D13" s="227"/>
      <c r="E13" s="227"/>
      <c r="F13" s="227"/>
      <c r="G13" s="216" t="s">
        <v>94</v>
      </c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8"/>
      <c r="AX13" s="228">
        <v>85.38</v>
      </c>
      <c r="AY13" s="229"/>
      <c r="AZ13" s="229"/>
      <c r="BA13" s="229"/>
      <c r="BB13" s="229"/>
      <c r="BC13" s="229"/>
      <c r="BD13" s="229"/>
      <c r="BE13" s="229"/>
      <c r="BF13" s="229"/>
      <c r="BG13" s="230"/>
      <c r="BH13" s="222">
        <v>31.286</v>
      </c>
      <c r="BI13" s="222"/>
      <c r="BJ13" s="222"/>
      <c r="BK13" s="222"/>
      <c r="BL13" s="222"/>
      <c r="BM13" s="222"/>
      <c r="BN13" s="222"/>
      <c r="BO13" s="222"/>
      <c r="BP13" s="222"/>
      <c r="BQ13" s="222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</row>
    <row r="14" spans="1:99" s="14" customFormat="1" ht="15" customHeight="1">
      <c r="A14" s="227" t="s">
        <v>110</v>
      </c>
      <c r="B14" s="227"/>
      <c r="C14" s="227"/>
      <c r="D14" s="227"/>
      <c r="E14" s="227"/>
      <c r="F14" s="227"/>
      <c r="G14" s="216" t="s">
        <v>95</v>
      </c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8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</row>
    <row r="15" spans="1:99" s="14" customFormat="1" ht="15" customHeight="1">
      <c r="A15" s="227" t="s">
        <v>111</v>
      </c>
      <c r="B15" s="227"/>
      <c r="C15" s="227"/>
      <c r="D15" s="227"/>
      <c r="E15" s="227"/>
      <c r="F15" s="227"/>
      <c r="G15" s="216" t="s">
        <v>96</v>
      </c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8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</row>
    <row r="16" spans="1:99" s="14" customFormat="1" ht="15" customHeight="1">
      <c r="A16" s="227" t="s">
        <v>112</v>
      </c>
      <c r="B16" s="227"/>
      <c r="C16" s="227"/>
      <c r="D16" s="227"/>
      <c r="E16" s="227"/>
      <c r="F16" s="227"/>
      <c r="G16" s="216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8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</row>
    <row r="17" spans="1:99" s="14" customFormat="1" ht="15" customHeight="1">
      <c r="A17" s="227" t="s">
        <v>113</v>
      </c>
      <c r="B17" s="227"/>
      <c r="C17" s="227"/>
      <c r="D17" s="227"/>
      <c r="E17" s="227"/>
      <c r="F17" s="227"/>
      <c r="G17" s="216" t="s">
        <v>97</v>
      </c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8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</row>
    <row r="18" spans="1:99" s="14" customFormat="1" ht="15" customHeight="1">
      <c r="A18" s="227" t="s">
        <v>114</v>
      </c>
      <c r="B18" s="227"/>
      <c r="C18" s="227"/>
      <c r="D18" s="227"/>
      <c r="E18" s="227"/>
      <c r="F18" s="227"/>
      <c r="G18" s="216" t="s">
        <v>98</v>
      </c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8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</row>
    <row r="19" spans="1:99" s="14" customFormat="1" ht="15" customHeight="1">
      <c r="A19" s="227" t="s">
        <v>115</v>
      </c>
      <c r="B19" s="227"/>
      <c r="C19" s="227"/>
      <c r="D19" s="227"/>
      <c r="E19" s="227"/>
      <c r="F19" s="227"/>
      <c r="G19" s="216" t="s">
        <v>99</v>
      </c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8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3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</row>
    <row r="20" spans="1:99" s="14" customFormat="1" ht="15" customHeight="1">
      <c r="A20" s="227" t="s">
        <v>116</v>
      </c>
      <c r="B20" s="227"/>
      <c r="C20" s="227"/>
      <c r="D20" s="227"/>
      <c r="E20" s="227"/>
      <c r="F20" s="227"/>
      <c r="G20" s="216" t="s">
        <v>100</v>
      </c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8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</row>
    <row r="21" spans="1:99" s="14" customFormat="1" ht="15" customHeight="1">
      <c r="A21" s="227" t="s">
        <v>117</v>
      </c>
      <c r="B21" s="227"/>
      <c r="C21" s="227"/>
      <c r="D21" s="227"/>
      <c r="E21" s="227"/>
      <c r="F21" s="227"/>
      <c r="G21" s="216" t="s">
        <v>96</v>
      </c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8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</row>
    <row r="22" spans="1:99" s="14" customFormat="1" ht="15" customHeight="1">
      <c r="A22" s="227" t="s">
        <v>112</v>
      </c>
      <c r="B22" s="227"/>
      <c r="C22" s="227"/>
      <c r="D22" s="227"/>
      <c r="E22" s="227"/>
      <c r="F22" s="227"/>
      <c r="G22" s="216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8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</row>
    <row r="23" spans="1:99" s="14" customFormat="1" ht="15" customHeight="1">
      <c r="A23" s="227" t="s">
        <v>118</v>
      </c>
      <c r="B23" s="227"/>
      <c r="C23" s="227"/>
      <c r="D23" s="227"/>
      <c r="E23" s="227"/>
      <c r="F23" s="227"/>
      <c r="G23" s="216" t="s">
        <v>101</v>
      </c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8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</row>
    <row r="24" spans="1:99" s="14" customFormat="1" ht="15" customHeight="1">
      <c r="A24" s="227" t="s">
        <v>119</v>
      </c>
      <c r="B24" s="227"/>
      <c r="C24" s="227"/>
      <c r="D24" s="227"/>
      <c r="E24" s="227"/>
      <c r="F24" s="227"/>
      <c r="G24" s="216" t="s">
        <v>102</v>
      </c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8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</row>
    <row r="25" spans="1:99" s="14" customFormat="1" ht="15" customHeight="1">
      <c r="A25" s="227" t="s">
        <v>120</v>
      </c>
      <c r="B25" s="227"/>
      <c r="C25" s="227"/>
      <c r="D25" s="227"/>
      <c r="E25" s="227"/>
      <c r="F25" s="227"/>
      <c r="G25" s="216" t="s">
        <v>103</v>
      </c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8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</row>
    <row r="26" spans="1:99" s="14" customFormat="1" ht="15" customHeight="1">
      <c r="A26" s="227"/>
      <c r="B26" s="227"/>
      <c r="C26" s="227"/>
      <c r="D26" s="227"/>
      <c r="E26" s="227"/>
      <c r="F26" s="227"/>
      <c r="G26" s="216" t="s">
        <v>104</v>
      </c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8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</row>
    <row r="27" spans="1:99" s="14" customFormat="1" ht="15" customHeight="1">
      <c r="A27" s="227" t="s">
        <v>121</v>
      </c>
      <c r="B27" s="227"/>
      <c r="C27" s="227"/>
      <c r="D27" s="227"/>
      <c r="E27" s="227"/>
      <c r="F27" s="227"/>
      <c r="G27" s="216" t="s">
        <v>105</v>
      </c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8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</row>
    <row r="28" spans="1:99" s="14" customFormat="1" ht="15" customHeight="1">
      <c r="A28" s="227" t="s">
        <v>122</v>
      </c>
      <c r="B28" s="227"/>
      <c r="C28" s="227"/>
      <c r="D28" s="227"/>
      <c r="E28" s="227"/>
      <c r="F28" s="227"/>
      <c r="G28" s="216" t="s">
        <v>106</v>
      </c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8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</row>
    <row r="29" s="4" customFormat="1" ht="11.25"/>
    <row r="30" s="4" customFormat="1" ht="11.25">
      <c r="A30" s="15"/>
    </row>
    <row r="31" spans="14:70" s="4" customFormat="1" ht="11.25">
      <c r="N31" s="173" t="s">
        <v>129</v>
      </c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Y31" s="173" t="s">
        <v>132</v>
      </c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</row>
    <row r="32" s="4" customFormat="1" ht="11.25">
      <c r="A32" s="15"/>
    </row>
    <row r="33" spans="1:70" s="4" customFormat="1" ht="11.25">
      <c r="A33" s="15"/>
      <c r="N33" s="173" t="s">
        <v>130</v>
      </c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X33" s="173" t="s">
        <v>131</v>
      </c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</row>
    <row r="34" s="4" customFormat="1" ht="11.25">
      <c r="A34" s="15"/>
    </row>
    <row r="35" s="4" customFormat="1" ht="11.25">
      <c r="A35" s="15"/>
    </row>
  </sheetData>
  <sheetProtection/>
  <mergeCells count="189">
    <mergeCell ref="N31:AJ31"/>
    <mergeCell ref="AY31:BR31"/>
    <mergeCell ref="N33:AJ33"/>
    <mergeCell ref="AX33:BR33"/>
    <mergeCell ref="G10:AW10"/>
    <mergeCell ref="G12:AW12"/>
    <mergeCell ref="AX26:BG26"/>
    <mergeCell ref="BH26:BQ26"/>
    <mergeCell ref="BH27:BQ27"/>
    <mergeCell ref="AX25:BG25"/>
    <mergeCell ref="G19:AW19"/>
    <mergeCell ref="G20:AW20"/>
    <mergeCell ref="A20:F20"/>
    <mergeCell ref="A21:F21"/>
    <mergeCell ref="G14:AW14"/>
    <mergeCell ref="A15:F15"/>
    <mergeCell ref="A11:F11"/>
    <mergeCell ref="G24:AW24"/>
    <mergeCell ref="G25:AW25"/>
    <mergeCell ref="G26:AW26"/>
    <mergeCell ref="G23:AW23"/>
    <mergeCell ref="G15:AW15"/>
    <mergeCell ref="G16:AW16"/>
    <mergeCell ref="G17:AW17"/>
    <mergeCell ref="G18:AW18"/>
    <mergeCell ref="A12:F12"/>
    <mergeCell ref="A27:F27"/>
    <mergeCell ref="A16:F16"/>
    <mergeCell ref="A17:F17"/>
    <mergeCell ref="A18:F18"/>
    <mergeCell ref="A19:F19"/>
    <mergeCell ref="A22:F22"/>
    <mergeCell ref="A23:F23"/>
    <mergeCell ref="A24:F24"/>
    <mergeCell ref="A26:F26"/>
    <mergeCell ref="A25:F25"/>
    <mergeCell ref="A2:F2"/>
    <mergeCell ref="A3:F3"/>
    <mergeCell ref="A4:F4"/>
    <mergeCell ref="A5:F5"/>
    <mergeCell ref="AX12:BG12"/>
    <mergeCell ref="AX13:BG13"/>
    <mergeCell ref="A13:F13"/>
    <mergeCell ref="G13:AW13"/>
    <mergeCell ref="A9:F9"/>
    <mergeCell ref="A10:F10"/>
    <mergeCell ref="A6:F6"/>
    <mergeCell ref="A7:F7"/>
    <mergeCell ref="A8:F8"/>
    <mergeCell ref="G28:AW28"/>
    <mergeCell ref="G6:AW6"/>
    <mergeCell ref="A28:F28"/>
    <mergeCell ref="G27:AW27"/>
    <mergeCell ref="A14:F14"/>
    <mergeCell ref="G21:AW21"/>
    <mergeCell ref="G22:AW22"/>
    <mergeCell ref="BH25:BQ25"/>
    <mergeCell ref="BH24:BQ24"/>
    <mergeCell ref="G2:AW2"/>
    <mergeCell ref="G3:AW3"/>
    <mergeCell ref="G4:AW4"/>
    <mergeCell ref="G5:AW5"/>
    <mergeCell ref="G11:AW11"/>
    <mergeCell ref="BH10:BQ10"/>
    <mergeCell ref="BH11:BQ11"/>
    <mergeCell ref="G7:AW7"/>
    <mergeCell ref="G8:AW8"/>
    <mergeCell ref="G9:AW9"/>
    <mergeCell ref="BR13:CA13"/>
    <mergeCell ref="BR14:CA14"/>
    <mergeCell ref="BR15:CA15"/>
    <mergeCell ref="BH28:BQ28"/>
    <mergeCell ref="BH12:BQ12"/>
    <mergeCell ref="BH13:BQ13"/>
    <mergeCell ref="BH22:BQ22"/>
    <mergeCell ref="BH23:BQ23"/>
    <mergeCell ref="BR27:CA27"/>
    <mergeCell ref="BR28:CA28"/>
    <mergeCell ref="CL25:CU25"/>
    <mergeCell ref="CL26:CU26"/>
    <mergeCell ref="CL27:CU27"/>
    <mergeCell ref="CL20:CU20"/>
    <mergeCell ref="CL21:CU21"/>
    <mergeCell ref="CL22:CU22"/>
    <mergeCell ref="CL23:CU23"/>
    <mergeCell ref="CB28:CK28"/>
    <mergeCell ref="CL19:CU19"/>
    <mergeCell ref="CL24:CU24"/>
    <mergeCell ref="CB20:CK20"/>
    <mergeCell ref="CB21:CK21"/>
    <mergeCell ref="CL15:CU15"/>
    <mergeCell ref="CL16:CU16"/>
    <mergeCell ref="CL17:CU17"/>
    <mergeCell ref="CL18:CU18"/>
    <mergeCell ref="CB16:CK16"/>
    <mergeCell ref="CB17:CK17"/>
    <mergeCell ref="CL14:CU14"/>
    <mergeCell ref="CL8:CU8"/>
    <mergeCell ref="CL9:CU9"/>
    <mergeCell ref="CL10:CU10"/>
    <mergeCell ref="CL11:CU11"/>
    <mergeCell ref="CL12:CU12"/>
    <mergeCell ref="CB12:CK12"/>
    <mergeCell ref="CL2:CU2"/>
    <mergeCell ref="CL3:CU3"/>
    <mergeCell ref="CL4:CU4"/>
    <mergeCell ref="CL5:CU5"/>
    <mergeCell ref="CL13:CU13"/>
    <mergeCell ref="CB26:CK26"/>
    <mergeCell ref="CL6:CU6"/>
    <mergeCell ref="CL7:CU7"/>
    <mergeCell ref="CB22:CK22"/>
    <mergeCell ref="CB23:CK23"/>
    <mergeCell ref="CB9:CK9"/>
    <mergeCell ref="CB10:CK10"/>
    <mergeCell ref="CB11:CK11"/>
    <mergeCell ref="CB6:CK6"/>
    <mergeCell ref="CB7:CK7"/>
    <mergeCell ref="CB18:CK18"/>
    <mergeCell ref="CB19:CK19"/>
    <mergeCell ref="CB24:CK24"/>
    <mergeCell ref="CB25:CK25"/>
    <mergeCell ref="BR19:CA19"/>
    <mergeCell ref="BR18:CA18"/>
    <mergeCell ref="CB27:CK27"/>
    <mergeCell ref="BR2:CK2"/>
    <mergeCell ref="BR3:CK3"/>
    <mergeCell ref="BR4:CA4"/>
    <mergeCell ref="BR5:CA5"/>
    <mergeCell ref="BR24:CA24"/>
    <mergeCell ref="BR20:CA20"/>
    <mergeCell ref="BR21:CA21"/>
    <mergeCell ref="BR16:CA16"/>
    <mergeCell ref="BR9:CA9"/>
    <mergeCell ref="BR6:CA6"/>
    <mergeCell ref="BR7:CA7"/>
    <mergeCell ref="BR25:CA25"/>
    <mergeCell ref="BR26:CA26"/>
    <mergeCell ref="BR10:CA10"/>
    <mergeCell ref="BR11:CA11"/>
    <mergeCell ref="BR23:CA23"/>
    <mergeCell ref="BR22:CA22"/>
    <mergeCell ref="BR17:CA17"/>
    <mergeCell ref="AX22:BG22"/>
    <mergeCell ref="AX19:BG19"/>
    <mergeCell ref="BR12:CA12"/>
    <mergeCell ref="CB4:CK4"/>
    <mergeCell ref="CB5:CK5"/>
    <mergeCell ref="CB13:CK13"/>
    <mergeCell ref="CB14:CK14"/>
    <mergeCell ref="CB15:CK15"/>
    <mergeCell ref="CB8:CK8"/>
    <mergeCell ref="BR8:CA8"/>
    <mergeCell ref="BH20:BQ20"/>
    <mergeCell ref="BH21:BQ21"/>
    <mergeCell ref="BH16:BQ16"/>
    <mergeCell ref="BH17:BQ17"/>
    <mergeCell ref="BH18:BQ18"/>
    <mergeCell ref="BH19:BQ19"/>
    <mergeCell ref="AX2:BQ2"/>
    <mergeCell ref="AX3:BQ3"/>
    <mergeCell ref="BH6:BQ6"/>
    <mergeCell ref="AX6:BG6"/>
    <mergeCell ref="BH14:BQ14"/>
    <mergeCell ref="BH15:BQ15"/>
    <mergeCell ref="BH8:BQ8"/>
    <mergeCell ref="BH9:BQ9"/>
    <mergeCell ref="AX11:BG11"/>
    <mergeCell ref="BH4:BQ4"/>
    <mergeCell ref="CL28:CU28"/>
    <mergeCell ref="AX4:BG4"/>
    <mergeCell ref="AX5:BG5"/>
    <mergeCell ref="AX8:BG8"/>
    <mergeCell ref="AX9:BG9"/>
    <mergeCell ref="AX10:BG10"/>
    <mergeCell ref="AX28:BG28"/>
    <mergeCell ref="AX20:BG20"/>
    <mergeCell ref="AX21:BG21"/>
    <mergeCell ref="AX16:BG16"/>
    <mergeCell ref="BH7:BQ7"/>
    <mergeCell ref="AX27:BG27"/>
    <mergeCell ref="AX7:BG7"/>
    <mergeCell ref="BH5:BQ5"/>
    <mergeCell ref="AX14:BG14"/>
    <mergeCell ref="AX15:BG15"/>
    <mergeCell ref="AX17:BG17"/>
    <mergeCell ref="AX18:BG18"/>
    <mergeCell ref="AX24:BG24"/>
    <mergeCell ref="AX23:BG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pto12</cp:lastModifiedBy>
  <cp:lastPrinted>2021-02-12T06:45:35Z</cp:lastPrinted>
  <dcterms:created xsi:type="dcterms:W3CDTF">2004-09-19T06:34:55Z</dcterms:created>
  <dcterms:modified xsi:type="dcterms:W3CDTF">2021-02-12T06:53:05Z</dcterms:modified>
  <cp:category/>
  <cp:version/>
  <cp:contentType/>
  <cp:contentStatus/>
</cp:coreProperties>
</file>